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Notifications" sheetId="1" r:id="rId1"/>
  </sheets>
  <calcPr fullCalcOnLoad="1"/>
</workbook>
</file>

<file path=xl/sharedStrings.xml><?xml version="1.0" encoding="utf-8"?>
<sst xmlns="http://schemas.openxmlformats.org/spreadsheetml/2006/main" count="5403" uniqueCount="5403">
  <si>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</si>
  <si>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</si>
  <si>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</si>
  <si>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</si>
  <si>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</si>
  <si>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</si>
  <si>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</si>
  <si>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</si>
  <si>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</si>
  <si>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</si>
  <si>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</si>
  <si>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</si>
  <si>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</si>
  <si>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</si>
  <si>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</si>
  <si>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</si>
  <si>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</si>
  <si>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Korea, Republic of</t>
  </si>
  <si>
    <t>Add of prohibited hosts related with Radopholus similis</t>
  </si>
  <si>
    <t xml:space="preserve">The Animal and Plant Quarantine Agency (APQA), Ministry of Agriculture, Food and Rural Affairs (MAFRA) in the Republic of Korea, has added host plants of Radopholus similis, one of the prohibited quarantine pests of Korea, which is based on the result of Pest Risk Analysis (PRA).The import of living and fresh underground parts of Allamanda spp. from the regions or countries specified below will be prohibited, and this measure will be applied on consignment shipped on and after 2 January 2025.- Products covered: Relevant parts of host plants (available in English, 1 page) associated with Radopholus similis- Regions or countries likely to be affected, to the extent relevant or practicable:_x000D_
 North America:  Canada, Mexico, United States of America_x000D_
 Central America:  All countries _x000D_
 South America:  All countries (except Chile)_x000D_
 Africa:  All countries_x000D_
 Asia: Brunei Darussalam, Cambodia, China (restricted areas: Guangzhou City, Maoming City and Shenzhen City in Guangdong, Fujian; and Hong Kong, China), India, Indonesia, Japan, Lebanese Republic, Malaysia, Oman, Pakistan, Philippines, Singapore, Sri Lanka, Chinese Taipei, Thailand, Yemen_x000D_
 Europe: Belgium, Denmark, Estonia, France, Hungary, Italy, Netherlands, Poland, Portugal, Slovenia, Spain, Sweden_x000D_
 Oceania and the Pacific: Australia (except Tasmania), Cook Islands (New Zealand), Fiji, French Polynesia, Guam, Hawaiian Islands, Micronesia, New Caledonia, New Zealand, Niue (New Zealand), Norfolk Island (Australia), Palau, Papua New Guinea, American Samoa, Samoa, Solomon Islands, TongaFull information of prohibited host plants and countries (regions) related to Radopholus similis, can be found in the Attachment 1 (available in English):</t>
  </si>
  <si>
    <t>Living underground parts of Jasminum spp.</t>
  </si>
  <si>
    <t>0602 - Live plants incl. their roots, cuttings and slips; mushroom spawn (excl. bulbs, tubers, tuberous roots, corms, crowns and rhizomes, and chicory plants and roots); 0602 - Live plants incl. their roots, cuttings and slips; mushroom spawn (excl. bulbs, tubers, tuberous roots, corms, crowns and rhizomes, and chicory plants and roots)</t>
  </si>
  <si>
    <t/>
  </si>
  <si>
    <t>Nematode; Pests; Plant health; Pest- or Disease- free Regions / Regionalization; Nematode; Plant health; Pests; Pest- or Disease- free Regions / Regionalization</t>
  </si>
  <si>
    <t>Addendum to Emergency Notification (SPS)</t>
  </si>
  <si>
    <d:r xmlns:d="http://schemas.openxmlformats.org/spreadsheetml/2006/main">
      <d:rPr>
        <d:sz val="11"/>
        <d:rFont val="Calibri"/>
      </d:rPr>
      <d:t xml:space="preserve">https://members.wto.org/crnattachments/2025/SPS/KOR/25_00062_00_e.pdf</d:t>
    </d:r>
  </si>
  <si>
    <t>Rwanda</t>
  </si>
  <si>
    <t>DEAS 495-2: 2024, Plugs, socket-outlets, adaptors and connection units — Part 2: Specification for switched and unswitched socket outlets</t>
  </si>
  <si>
    <t xml:space="preserve">This Draft East African Standard specifies requirements for 13 A switched and unswitched shuttered socket outlets for household, commercial and light industrial purposes, with particular reference to safety in normal use. The socket-outlets are suitable for the connection of portable appliances, sound-vision equipment, luminaires, etc. in a.c. circuits only, operating at voltages not exceeding 250 V r.m.s. at 50 Hz using plugs in accordance with EAS 495-1. Additional requirements are included for socket-outlets suitable for electric vehicle charging._x000D_
Requirements are specified for 13 A shuttered socket-outlets in single or multiple arrangements with or without associated controlling switches, for flush mounting in suitable boxes, e.g. complying with EAS 203, or for surface or panel mounting or for portable use. Fixed socket-outlets are intended for use with cables complying with IEC 60227 having copper conductors._x000D_
Socket-outlets incorporating fuse links, Circuit Breakers for Equipment (CBE), switches and indicator lamps are included within the scope of this part of EAS 495. Socket-outlets incorporating electronic components as detailed in Annex H are included within the scope of this part of EAS 495._x000D_
This standard does not apply to socket-outlets incorporating screwless terminals for the connection of external conductors of the following types:_x000D_
a) insulation-piercing connecting devices; portable_x000D_
b) twist-on connecting devices._x000D_
Socket-outlets complying with this standard are shuttered and therefore do not require the use of additional means to shield the current carrying contacts when no plug is present in the socket-outlet. Certain installations require the inclusion of intumescent and acoustic pads and this might have an effect on the conformance of the socket-outlet to the requirements of this standard. This might influence temperature rise and internal clearances. Verification of suitability of the socket-outlet needs to be obtained from the manufacturer._x000D_
NOTE 1 The titles of the publications referred to in this part of EAS 495 are listed on the inside back cover._x000D_
NOTE 2 In order to maintain safety and interchangeability with plugs and socket-outlets it is necessary that these products comply with the requirements of Clause 9, Clause 12 and Clause 13 of this part of EAS 495, however their body outline need not be limited at a distance of 6.36 mm from the plug engagement face._x000D_
NOTE 3 Requirements for electromagnetic compatibility are not given for the following reasons._x000D_
NOTE 4 A socket-outlet that does not incorporate electronic devices is mechanical by nature of construction. The product is therefore immune from electromagnetic interference._x000D_
“NOTE 5 Individually protected socket-outlets (IPS) are only intended to provide supplementary overcurrent protection downstream of the IPS. Individually protected socket-outlets are intended for use in circuits where fault protection is already assured upstream of the socket-outlet.NOTE 6 Individually protected socket-outlets (IPS) are rated at 13 A. The maximum load current is restricted by thefitted fuse/CBE for its particular application._x000D_
NOTE 7 Recommendations for products incorporating EAS 495-2 socket-outlets are given in Annex I._x000D_
A switched or unswitched socket-outlet does not emit intolerable electromagnetic interference since significant electromagnetic disturbances are only generated during insertion and withdrawal which are not continuous._x000D_
A switched or unswitched socket-outlet is mechanical by nature of construction. The product is therefore immune from electromagnetic interference._x000D_
This standard applies to all socket outlets in East African Region_x000D_
</t>
  </si>
  <si>
    <t>Plugs, socket-outlets, couplers (ICS code(s): 29.120.30)</t>
  </si>
  <si>
    <t>29.120.30 - Plugs, socket-outlets, couplers</t>
  </si>
  <si>
    <t>National security requirements (TBT); Prevention of deceptive practices and consumer protection (TBT); Protection of human health or safety (TBT); Protection of the environment (TBT); Quality requirements (TBT); Harmonization (TBT); Cost saving and productivity enhancement (TBT)</t>
  </si>
  <si>
    <t>Regular notification</t>
  </si>
  <si>
    <d:r xmlns:d="http://schemas.openxmlformats.org/spreadsheetml/2006/main">
      <d:rPr>
        <d:sz val="11"/>
        <d:rFont val="Calibri"/>
      </d:rPr>
      <d:t xml:space="preserve">https://members.wto.org/crnattachments/2025/TBT/RWA/25_00115_00_e.pdf</d:t>
    </d:r>
  </si>
  <si>
    <t>Chinese Taipei</t>
  </si>
  <si>
    <t>Legal Inspection Requirements for Electric Vehicles Charging Equipment</t>
  </si>
  <si>
    <t>The purpose of this notification is to provide the final texts of “Legal Inspection Requirements for Electric Vehicles Charging Equipment” and relevant dates of its implementation. The draft texts notified in “G/TBT/N/TPKM/540” were adopted with minor changes.</t>
  </si>
  <si>
    <t>Electric Vehicle Supply Equipment</t>
  </si>
  <si>
    <t>43.120 - Electric road vehicles; 43.120 - Electric road vehicles</t>
  </si>
  <si>
    <t>Protection of human health or safety (TBT)</t>
  </si>
  <si>
    <t>Addendum to Regular Notification</t>
  </si>
  <si>
    <d:r xmlns:d="http://schemas.openxmlformats.org/spreadsheetml/2006/main">
      <d:rPr>
        <d:sz val="11"/>
        <d:rFont val="Calibri"/>
      </d:rPr>
      <d:t xml:space="preserve">https://members.wto.org/crnattachments/2025/TBT/TPKM/final_measure/25_00191_00_e.pdf
https://members.wto.org/crnattachments/2025/TBT/TPKM/final_measure/25_00191_00_x.pdf</d:t>
    </d:r>
  </si>
  <si>
    <t>Viet Nam</t>
  </si>
  <si>
    <t>Draft National technical regulation on safety for equipment used at sports climbing training and competition establishments </t>
  </si>
  <si>
    <t>This Technical Regulation specifies safety requirements and test methods for mobile climbing ropes domestically manufactured, imported and circulated in the market.This technical regulation applies to establishments producing domestically, importing and circulating mobile climbing ropes and relevant agencies, organizations and individuals.</t>
  </si>
  <si>
    <t>HS 9506.91.00</t>
  </si>
  <si>
    <t>950691 - Articles and equipment for general physical exercise, gymnastics or athletics</t>
  </si>
  <si>
    <t>59.080.50 - Ropes; 97.220.40 - Outdoor and water sports equipment</t>
  </si>
  <si>
    <d:r xmlns:d="http://schemas.openxmlformats.org/spreadsheetml/2006/main">
      <d:rPr>
        <d:sz val="11"/>
        <d:rFont val="Calibri"/>
      </d:rPr>
      <d:t xml:space="preserve">https://members.wto.org/crnattachments/2025/TBT/VNM/25_00095_00_x.pdf</d:t>
    </d:r>
  </si>
  <si>
    <t>Tanzania</t>
  </si>
  <si>
    <t>DEAS 495-1: 2024, Plugs, socket-outlets, adaptors and connection units — Part 1: Specification for rewirable and non-rewirable fused plugs</t>
  </si>
  <si>
    <t xml:space="preserve">This part of this Draft East African Standard specifies requirements for fused plugs with a current rating of 13 A rating for rewirable and a maximum of 13 A for non-rewirable fused plugs having insulating sleeves on line and neutral pins, for household, commercial and light industrial purposes, with particular reference to safety in normal use. The plugs are suitable for the connection of portable appliances; sound-vision equipment, luminaries, etc in ac circuits only, operating at voltages not exceeding 250 V r.m.s. at 50 Hz. Additional requirements are included for plugs suitable for electric vehicle charging._x000D_
Requirements are specified for plugs incorporating a fuse link complying with EAS 496. The plugs may be rewirable or non-rewirable complete with flexible cord. Two categories of plugs are specified covering normal and rough use. Rewirable plugs are intended for use with flexible cords complying with IEC 60227 or IEC 60245 having conductor cross-sectional areas from 0.5 mm2 to 1.5 mm2 inclusive._x000D_
NOTE 1 See 19.1._x000D_
Non-rewirable plugs are intended for use with flexible cords having conductor cross-sectional areas not exceeding 1.5 mm2_x000D_
NOTE 2 See 19.4._x000D_
This standard also applies to non-rewirable 13 A plugs which have the brass earth pin replaced with a similarly dimensioned protrusion made of insulating material designated as an insulated shutter opening device (ISOD) designed to operate the shutter mechanism of a socket-outlet conforming to EAS 495-2._x000D_
Plugs incorporating switches and indicator lamps are included within the scope of this part of EAS 495. Plugs incorporating electronic components detailed in Annex G are included within the scope of this part of EAS 495._x000D_
NOTE 3 The titles of the publications referred to in this part of EAS 495 are listed on the inside back cover._x000D_
NOTE 4 In order to maintain safety and interchangeability with plugs and socket-outlets it is necessary that these products_x000D_
comply with the requirements of Clause 9.12 and Clause 13 of this part of EAS 495, however their body outline need not be limited at a distance of 6.35 mm from the plug engagement face._x000D_
A plug is mechanical by nature of construction. The product is therefore immune from electromagnetic interference. Plugs incorporating switches and indicator lamps are included within the scope of this part of EAS 495._x000D_
Plugs incorporating electronic components detailed in Annex G are included within the scope of this part of EAS 495.”_x000D_
This Draft standard applies to all plugs in East African Region</t>
  </si>
  <si>
    <d:r xmlns:d="http://schemas.openxmlformats.org/spreadsheetml/2006/main">
      <d:rPr>
        <d:sz val="11"/>
        <d:rFont val="Calibri"/>
      </d:rPr>
      <d:t xml:space="preserve">https://members.wto.org/crnattachments/2025/TBT/RWA/25_00109_00_e.pdf</d:t>
    </d:r>
  </si>
  <si>
    <t>Kenya</t>
  </si>
  <si>
    <t>DEAS 1233: 2024, Herbal and fruit infusions — Specification</t>
  </si>
  <si>
    <t xml:space="preserve">This Draft East African Standard specifies the requirements, sampling and test methods for herbal and fruit infusions intended for human consumption._x000D_
Any use for medicinal purposes is not within the scope of this standard_x000D_
This Standard excludes infusions from Camellia sinensis._x000D_
</t>
  </si>
  <si>
    <t>Food technology (ICS code(s): 67)</t>
  </si>
  <si>
    <t>67 - Food technology</t>
  </si>
  <si>
    <t>Food standards</t>
  </si>
  <si>
    <d:r xmlns:d="http://schemas.openxmlformats.org/spreadsheetml/2006/main">
      <d:rPr>
        <d:sz val="11"/>
        <d:rFont val="Calibri"/>
      </d:rPr>
      <d:t xml:space="preserve">https://members.wto.org/crnattachments/2025/TBT/RWA/25_00150_00_e.pdf</d:t>
    </d:r>
  </si>
  <si>
    <t>Burundi</t>
  </si>
  <si>
    <t>DEAS 1234: Automatic Transmission Fluid (ATF) — Specification</t>
  </si>
  <si>
    <t>This Draft East African Standard specifies requirements, sampling and test methods for Automatic Transmission Fluids (ATF) fluid for use in automatic gear boxes and automotive power steering. It is applicable to Automotive-on-Road vehicles.</t>
  </si>
  <si>
    <t>- Containing petroleum oils or oils obtained from bituminous minerals: (HS code(s): 34031); Lubricants, industrial oils and related products (ICS code(s): 75.100)</t>
  </si>
  <si>
    <t>34031 - - Containing petroleum oils or oils obtained from bituminous minerals:</t>
  </si>
  <si>
    <t>75.100 - Lubricants, industrial oils and related products</t>
  </si>
  <si>
    <t>Consumer information, labelling (TBT); Quality requirements (TBT); Harmonization (TBT); Reducing trade barriers and facilitating trade (TBT)</t>
  </si>
  <si>
    <d:r xmlns:d="http://schemas.openxmlformats.org/spreadsheetml/2006/main">
      <d:rPr>
        <d:sz val="11"/>
        <d:rFont val="Calibri"/>
      </d:rPr>
      <d:t xml:space="preserve">https://members.wto.org/crnattachments/2025/TBT/KEN/25_00157_00_e.pdf</d:t>
    </d:r>
  </si>
  <si>
    <t>Uganda</t>
  </si>
  <si>
    <t>DKS 3004: 2024 Pyrethrum Refined Extracts —Specification</t>
  </si>
  <si>
    <t>Kenya would like to inform WTO Members that the Kenya Standard—Pyrethrum refined extract—Specification, First Edition; notified in G/TBT/N/KEN/1589 as DKS 3004: 2024 Pyrethrum Refined Extracts- Specification, was adopted and published on 29th November 2024 via gazette notice No. 206 dated 29th November 2024A copy of the document can be obtained via the following link at a basic fee: https://webstore.kebs.org</t>
  </si>
  <si>
    <t>Pesticides and other agrochemicals in general (ICS code(s): 65.100.01)</t>
  </si>
  <si>
    <t>3808 - Insecticides, rodenticides, fungicides, herbicides, anti-sprouting products and plant-growth regulators, disinfectants and similar products, put up for retail sale or as preparations or articles, e.g. sulphur-treated bands, wicks and candles, and fly-papers; 3808 - Insecticides, rodenticides, fungicides, herbicides, anti-sprouting products and plant-growth regulators, disinfectants and similar products, put up for retail sale or as preparations or articles, e.g. sulphur-treated bands, wicks and candles, and fly-papers</t>
  </si>
  <si>
    <t>65.100.01 - Pesticides and other agrochemicals in general; 65.100.01 - Pesticides and other agrochemicals in general</t>
  </si>
  <si>
    <t>Consumer information, labelling (TBT); Quality requirements (TBT); Reducing trade barriers and facilitating trade (TBT)</t>
  </si>
  <si>
    <t>DKS 3010:2024 Nixtamalized maize products — Specification</t>
  </si>
  <si>
    <t>Kenya would like to inform WTO Members that the Kenya Standard—Nixtamalized maize products —Specification, First Edition; notified in G/TBT/N/KEN/1625 as DKS 3010:2024 Nixtamalized maize products — Specification, was adopted and published on 29th November 2024 via gazette notice No. 206 dated 29th November 2024.A copy of the document can be obtained via the following link at a basic fee: https://webstore.kebs.org</t>
  </si>
  <si>
    <t>Maize or corn (HS code(s): 1005); Cereals, pulses and derived products (ICS code(s): 67.060)</t>
  </si>
  <si>
    <t>1005 - Maize or corn; 1005 - Maize or corn</t>
  </si>
  <si>
    <t>67.060 - Cereals, pulses and derived products; 67.060 - Cereals, pulses and derived products</t>
  </si>
  <si>
    <t>Consumer information, labelling (TBT); Prevention of deceptive practices and consumer protection (TBT); Protection of human health or safety (TBT); Quality requirements (TBT); Reducing trade barriers and facilitating trade (TBT)</t>
  </si>
  <si>
    <t>Food standards; Food standards</t>
  </si>
  <si>
    <t>Brazil</t>
  </si>
  <si>
    <t>Public Consultation No. 17, 21 November 2024; </t>
  </si>
  <si>
    <t>Proposal for improving the Inmetro Normative Instruction and the Conformity Assessment Requirements for own equipment inspection services, approved by Ordinance No. 537 21 October 2015, and Ordinance No. 582 23 November 2015.Criticisms and suggestions must be presented on the Participa + Brasil Platform contained on the websitehttps://www.gov.br/participamaisbrasil/inmetro-directia-de-avaliacao-da-conformidadeThe Inmetro Ordinances are revoked, within 6 (six) months from the effective date of this Ordinance:I - nº 537, 21 October 2015, published in the Official Gazette of the Union on 23 October 2015, section 1, page 80;II - No. 582, 23 November 2015, published in the Official Gazette of the Union on 25 November 2015, section 1, page 57;III - No. 177, 1 August 2023, published in the Official Gazette of the Union on 1 August 2023, section 1, page 33; andIV - No. 382, ​​25 August 2023, published in the Official Gazette of the Union on 25 August 2023, section 1 - Extra A, page 1.</t>
  </si>
  <si>
    <t>NUCLEAR REACTORS, BOILERS, MACHINERY AND MECHANICAL APPLIANCES; PARTS THEREOF (HS code(s): 84)</t>
  </si>
  <si>
    <t>84 - NUCLEAR REACTORS, BOILERS, MACHINERY AND MECHANICAL APPLIANCES; PARTS THEREOF</t>
  </si>
  <si>
    <t>27.060 - Burners. Boilers; 29.180 - Transformers. Reactors</t>
  </si>
  <si>
    <t>Protection of human health or safety (TBT); Other (TBT)</t>
  </si>
  <si>
    <d:r xmlns:d="http://schemas.openxmlformats.org/spreadsheetml/2006/main">
      <d:rPr>
        <d:sz val="11"/>
        <d:rFont val="Calibri"/>
      </d:rPr>
      <d:t xml:space="preserve">https://members.wto.org/crnattachments/2025/TBT/BRA/25_00088_00_x.pdf</d:t>
    </d:r>
  </si>
  <si>
    <t>DEAS 923: 2024, Instant tea — Specification</t>
  </si>
  <si>
    <t xml:space="preserve">This Draft East African Standard specifies the requirements, sampling and test methods for instant tea of the species Camellia sinensis (Linneaus) O. Kuntze._x000D_
</t>
  </si>
  <si>
    <t>Beverages (ICS code(s): 67.160)</t>
  </si>
  <si>
    <t>67.160 - Beverages</t>
  </si>
  <si>
    <d:r xmlns:d="http://schemas.openxmlformats.org/spreadsheetml/2006/main">
      <d:rPr>
        <d:sz val="11"/>
        <d:rFont val="Calibri"/>
      </d:rPr>
      <d:t xml:space="preserve">https://members.wto.org/crnattachments/2025/TBT/RWA/25_00145_00_e.pdf</d:t>
    </d:r>
  </si>
  <si>
    <t>DEAS 495-4: 2024, Plugs, socket-outlets, adaptors, and connection units — Part 4: fused connection units: Switched and unswitched</t>
  </si>
  <si>
    <t xml:space="preserve">This part of EAS 495 specifies requirements of up to 13 A fused fixed connection units for household, commercial and light industrial purposes, with particular reference to safety in normal use. The connection units are suitable for the connection of appliances, in a.c. circuits only, operating at voltages not exceeding 250 V r.m.s at 50 Hz._x000D_
Requirements are specified for connection units incorporating a fuse-link complying with EAS 496._x000D_
Requirements are specified for 13 A connection units with or without associated controlling switches, for flush mounting in suitable enclosures, e.g. boxes complying with EAS 203, or for surface or panel mounting. Connection units are intended for use with cables complying with IEC 60227 having copper conductors. Connection units with card outlets are additionally intended for use with flexible cords, complying with IEC 60245 or IEC 60227on the load (output) side._x000D_
This standard does not apply to connection units incorporating screwless terminals for the_x000D_
connection of external conductors of the following types:_x000D_
a) flat quick‑connect terminals;_x000D_
b) insulation‑piercing connecting devices; and_x000D_
c) twist‑on connecting devices._x000D_
Certain installations require the inclusion of intumescent and acoustic pads and this might have an effect on the conformance of the connection unit to the requirements of this standard. This might influence temperature rise and internal clearances. Verification of suitability of the connection unit needs to be obtained from the manufacturer._x000D_
NOTE 1 The titles of the publications referred to in this standard are listed on the inside back cover._x000D_
NOTE 2 Requirements for electromagnetic compatibility are not given for the following reasons._x000D_
A connection unit does not emit intolerable electromagnetic interference since significant electromagnetic disturbances are only generated during insertion and withdrawal which are not continuous._x000D_
A connection unit is mechanical by nature of construction. The product is therefore immune from electromagnetic interference._x000D_
This standard applies to all connection Units in East African Region</t>
  </si>
  <si>
    <d:r xmlns:d="http://schemas.openxmlformats.org/spreadsheetml/2006/main">
      <d:rPr>
        <d:sz val="11"/>
        <d:rFont val="Calibri"/>
      </d:rPr>
      <d:t xml:space="preserve">https://members.wto.org/crnattachments/2025/TBT/RWA/25_00128_00_e.pdf</d:t>
    </d:r>
  </si>
  <si>
    <t>Legal Inspection Requirements for Power Conversion System </t>
  </si>
  <si>
    <t>The purpose of this notification is to provide the final texts of “Legal Inspection Requirements for Power Conversion System” and relevant dates of its implementation.The draft texts notified in “G/TBT/N/TPKM/546” were adopted with minor changes.</t>
  </si>
  <si>
    <t>Static converters (HS code(s): 850440)</t>
  </si>
  <si>
    <t>850440 - Static converters; 850440 - Static converters</t>
  </si>
  <si>
    <t>29.200 - Rectifiers. Converters. Stabilized power supply; 29.200 - Rectifiers. Converters. Stabilized power supply</t>
  </si>
  <si>
    <d:r xmlns:d="http://schemas.openxmlformats.org/spreadsheetml/2006/main">
      <d:rPr>
        <d:sz val="11"/>
        <d:rFont val="Calibri"/>
      </d:rPr>
      <d:t xml:space="preserve">https://members.wto.org/crnattachments/2025/TBT/TPKM/final_measure/25_00102_00_e.pdf
https://members.wto.org/crnattachments/2025/TBT/TPKM/final_measure/25_00102_00_x.pdf</d:t>
    </d:r>
  </si>
  <si>
    <t>China</t>
  </si>
  <si>
    <t>Phytosanitary Requirements for Imported Plant-derived Fertilizers</t>
  </si>
  <si>
    <t>This measure stipulates:the types of plant-derived fertilizers allowed to be exported to China;the requirements and procedures for the registration in China of recommended plant-derived fertilizers manufacturers and the validity period of registration;the imported phytosanitary requirements for plant-derived fertilizers exported to China, including being free of imported plant quarantine pests and other harmful organisms and exotic species that are seriously harmful to agricultural and forestry production and ecological environment, being free of plant seeds, soil, animal carcasses, animal feces, poultry feathers and other animal-derived ingredients and other biosafety risk materials;the requirements for packaging, storage and transportation of plant-derived fertilizers exported to China and requirements for pre-export official inspection and certification;the import inspection procedures for plant-derived fertilizers exported to China and the treatment requirements for non-compliance.</t>
  </si>
  <si>
    <t>Plant-derived fertilizers</t>
  </si>
  <si>
    <t>310100 - Animal or vegetable fertilisers, whether or not mixed together or chemically treated; fertilisers produced by the mixing or chemical treatment of animal or vegetable products (excl. those in tablets or similar forms, or in packages with a gross weight of &lt;= 10 kg)</t>
  </si>
  <si>
    <t>Protect humans from animal/plant pest or disease (SPS); Protect territory from other damage from pests (SPS)</t>
  </si>
  <si>
    <t>Human health; Territory protection</t>
  </si>
  <si>
    <d:r xmlns:d="http://schemas.openxmlformats.org/spreadsheetml/2006/main">
      <d:rPr>
        <d:sz val="11"/>
        <d:rFont val="Calibri"/>
      </d:rPr>
      <d:t xml:space="preserve">https://members.wto.org/crnattachments/2025/SPS/CHN/25_00054_00_x.pdf</d:t>
    </d:r>
  </si>
  <si>
    <t>Draft National technical regulation on the limits of mycotoxin contamination of food</t>
  </si>
  <si>
    <t xml:space="preserve">This draft National technical regulation stipulates technical requirements (Maximum permitted limits on the limits of mycotoxin contamination of food), testing methods, sampling; management requirements; and responsibilities of organizations and individuals producing and trading food. _x000D_
This draft national technical regulation applies to a) Organizations and individuals  that import, produce and trade food with the risk of mycotoxin contamination; b) Relevant organizations and individuals.</t>
  </si>
  <si>
    <t>Foodstuffs</t>
  </si>
  <si>
    <t>67.040 - Food products in general</t>
  </si>
  <si>
    <d:r xmlns:d="http://schemas.openxmlformats.org/spreadsheetml/2006/main">
      <d:rPr>
        <d:sz val="11"/>
        <d:rFont val="Calibri"/>
      </d:rPr>
      <d:t xml:space="preserve">https://members.wto.org/crnattachments/2025/TBT/VNM/25_00096_00_x.pdf</d:t>
    </d:r>
  </si>
  <si>
    <t>Proposed Amendments to the Standards and Specifications for Foods</t>
  </si>
  <si>
    <t xml:space="preserve">The proposed amendments seek to:_x000D_
1. Establish the limit for cadmium in Cocoa products or chocolates;_x000D_
2. Establish the standard and specifications of Nutritional formulas for patients with liver cirrhosis;_x000D_
3. Revise the specifications of foodborne pathogens in the Meal kit for meat;_x000D_
4. Revise and establish the maximum residual limits of pesticides in food [137 pesticides including Napropamide];_x000D_
5. Revise the maximum residual limits of veterinary drugs in food;_x000D_
6. Revise and establish the general test methods;_x000D_
7. Revise other provisions.</t>
  </si>
  <si>
    <t>Food products</t>
  </si>
  <si>
    <t>Food safety (SPS)</t>
  </si>
  <si>
    <t>Human health; Food safety; Maximum residue limits (MRLs)</t>
  </si>
  <si>
    <d:r xmlns:d="http://schemas.openxmlformats.org/spreadsheetml/2006/main">
      <d:rPr>
        <d:sz val="11"/>
        <d:rFont val="Calibri"/>
      </d:rPr>
      <d:t xml:space="preserve">https://members.wto.org/crnattachments/2025/SPS/KOR/25_00058_00_x.pdf</d:t>
    </d:r>
  </si>
  <si>
    <t>Ecuador</t>
  </si>
  <si>
    <t>Resolución 0281: Establecimiento de los requisitos fitosanitarios de cumplimiento obligatorio para la importación de fruta fresca de naranja (Citrus sinensis), mandarina (Citrus reticulata) y toronja (Citrus paradisi), para consumo, originaria de Argentina (Resolution No. 0281 establishing mandatory phytosanitary requirements governing the importation, for consumption, of fresh oranges (Citrus sinensis), mandarins (Citrus reticulata) and grapefruits (Citrus paradisi) originating in Argentina)</t>
  </si>
  <si>
    <t>The notified Resolution establishes mandatory phytosanitary requirements for the importation, for consumption, of fresh oranges (Citrus sinensis), mandarins (Citrus reticulata) and grapefruits (Citrus paradisi) originating in Argentina.</t>
  </si>
  <si>
    <t>Fresh oranges (Citrus sinensis), mandarins (Citrus reticulata) and grapefruits (Citrus paradisi)</t>
  </si>
  <si>
    <t>080540 - Fresh or dried grapefruit and pomelos; 080521 - Fresh or dried mandarins incl. tangerines and satsumas (excl. clementines); 080510 - Fresh or dried oranges</t>
  </si>
  <si>
    <t>Plant protection (SPS)</t>
  </si>
  <si>
    <t>Plant health</t>
  </si>
  <si>
    <t>Argentina</t>
  </si>
  <si>
    <d:r xmlns:d="http://schemas.openxmlformats.org/spreadsheetml/2006/main">
      <d:rPr>
        <d:sz val="11"/>
        <d:rFont val="Calibri"/>
      </d:rPr>
      <d:t xml:space="preserve">https://members.wto.org/crnattachments/2025/SPS/ECU/25_00055_00_s.pdf</d:t>
    </d:r>
  </si>
  <si>
    <t>Canada</t>
  </si>
  <si>
    <t>Regulations Amending the Pest Control Products Fees and Charges Regulations (Annual Charge) (39 pages, available in English and French)</t>
  </si>
  <si>
    <t>The proposed amendments would increase the annual charge and replace the current sales-based approach for determining the annual charge payable with a tiered approach, based on the number of pest control product registrations held by each registrant. A lower annual charge would apply for, among other things, registrations held by small businesses; registrations that are semiochemicals, microbial agents, or non-conventional pest control products; and registrations for certain specialized niche products. Registrations held by the departments or agencies of federal and provincial governments, or municipalities, would not be subject to the annual charge.  </t>
  </si>
  <si>
    <t>Pest control products, including but not limited to HS 3808 (ICS: 65.100).</t>
  </si>
  <si>
    <t>3808 - Insecticides, rodenticides, fungicides, herbicides, anti-sprouting products and plant-growth regulators, disinfectants and similar products, put up for retail sale or as preparations or articles, e.g. sulphur-treated bands, wicks and candles, and fly-papers</t>
  </si>
  <si>
    <t>65.100 - Pesticides and other agrochemicals</t>
  </si>
  <si>
    <t>Other (TBT)</t>
  </si>
  <si>
    <t>Human health</t>
  </si>
  <si>
    <t>Sri Lanka</t>
  </si>
  <si>
    <t>The Amendment of the Draft Food (Iodization of Salt) Regulations 2013</t>
  </si>
  <si>
    <t>It was decided to amend the Draft Food (Iodization of Salt) Regulations 2013, dated 18 February 2013, notified as G/SPS/N/LKA/34 by Sri Lanka.The Food (Iodization of Salt) Regulations 2023, published in Gazette Extraordinary No. 2332/03 of 15 May 2023 as amended by regulations published in Gazette Extraordinary No. 2364/27 of 27 December 2023, is hereby amended by the repeal of regulation 1 thereof, and the substitution thereof the following regulation.These regulations may be cited as Food (Iodization of Salt) Regulations, 2023 and will come into force on 1 July 2025.</t>
  </si>
  <si>
    <t>Iodized salt</t>
  </si>
  <si>
    <t>2501 - Salt (including table salt and denatured salt) and pure sodium chloride, whether or not in aqueous solution or containing added anti-caking or free-flowing agents; sea water.; 2501 - Salts, incl. table salt and denatured salt, and pure sodium chloride, whether or not in aqueous solution or containing added anti-caking or free-flowing agents; sea water</t>
  </si>
  <si>
    <t>Change in date of adoption/publication/entry into force; Food safety; Human health; Human health; Food safety</t>
  </si>
  <si>
    <d:r xmlns:d="http://schemas.openxmlformats.org/spreadsheetml/2006/main">
      <d:rPr>
        <d:sz val="11"/>
        <d:rFont val="Calibri"/>
      </d:rPr>
      <d:t xml:space="preserve">https://members.wto.org/crnattachments/2025/SPS/LKA/25_00091_00_e.pdf</d:t>
    </d:r>
  </si>
  <si>
    <t>The Amendment of the Draft Food (Labelling and Advertising) Regulations 2015</t>
  </si>
  <si>
    <t>It was decided to amend the Draft Food (Labelling and Advertising) Regulations 2015, dated 4 December 2015, notified as G/SPS/N/LKA/38 by Sri Lanka.2015 draft was further amended and later it was published as the Food (Labelling and Advertising) Regulations 2022.The Food (Labelling and Advertising) Regulations 2022, published in the Gazette Extraordinary No. 2319/40 of 14 February 2023 was supposed to enter into force on 1 January 2024. Subsequently date of enforcement postponed to 1 January 2025 by Gazette Extraordinary No. 2364/24 of 27 December 2023. It was further amended by the Gazette Extraordinary No. 2416/51 of 28 December 2024 as follows:Regulation 2 to Regulation 13(15) and Regulation 15 along with I to IX schedules will enter into force on 1 July 2025;Regulation 13(16), 13(17), 13(18) and 14 enter into force on 1 January 2025.</t>
  </si>
  <si>
    <t>Food</t>
  </si>
  <si>
    <t>Modification of final date for comments; Change in date of adoption/publication/entry into force; Irradiation; Food safety; Labelling; Human health; Irradiation; Human health; Labelling; Food safety</t>
  </si>
  <si>
    <d:r xmlns:d="http://schemas.openxmlformats.org/spreadsheetml/2006/main">
      <d:rPr>
        <d:sz val="11"/>
        <d:rFont val="Calibri"/>
      </d:rPr>
      <d:t xml:space="preserve">https://members.wto.org/crnattachments/2025/SPS/LKA/25_00240_00_e.pdf</d:t>
    </d:r>
  </si>
  <si>
    <t>Peru</t>
  </si>
  <si>
    <t>Norma Metrológica Peruana NMP 014:2024. EQUIPOS DE MEDICIÓN DE LA ENERGÍA ELÉCTRICA. - Parte 1: Requisitos generales, ensayos y condiciones de ensayo. Equipos de medición (Peruvian Metrology Standard (NMP) No. 014-2024, Electricity metering equipment. Part 1: General requirements, tests and test conditions. Measuring instruments)</t>
  </si>
  <si>
    <t>Directorial Resolution No. D000014-2024-INACAL/DM, published in the Official Journal, El Peruano, of 24 October 2024, approves Peruvian Metrology Standard (NMP) No. 014:2024, Electricity metering equipment. Part 1: General requirements, tests and test conditions. Measuring instruments. Ministerio de Comercio Exterior y Turismo, MINCETUR (Ministry of Foreign Trade and Tourism) Calle Uno Oeste Nº 50 - Urb. Corpac - Lima 27 - Peru Tel.: (+51 1) 513-6100, Ext. 1223 and 1239 Email: otc@mincetur.gob.pe __________</t>
  </si>
  <si>
    <t>ICS: 17.220.20 Equipos de medida, energía eléctrica, medidor estático.</t>
  </si>
  <si>
    <t>17.220.20 - Measurement of electrical and magnetic quantities; 17.220.20 - Measurement of electrical and magnetic quantities</t>
  </si>
  <si>
    <t>Metrology; Metrology</t>
  </si>
  <si>
    <d:r xmlns:d="http://schemas.openxmlformats.org/spreadsheetml/2006/main">
      <d:rPr>
        <d:sz val="11"/>
        <d:rFont val="Calibri"/>
      </d:rPr>
      <d:t xml:space="preserve">https://members.wto.org/crnattachments/2025/TBT/PER/final_measure/25_00236_00_s.pdf
https://www.inacal.gob.pe/metrologia/categoria/normasmetrologicas
http://extranet.comunidadandina.org/sirt/public/buscapalavra.aspx 
http://consultasenlinea.mincetur.gob.pe/notificaciones/Publico/FrmBuscador.aspx 
</d:t>
    </d:r>
  </si>
  <si>
    <t>Armenia</t>
  </si>
  <si>
    <t>Draft amendments to the Technical regulations of the Eurasian Economic Union "On Requirements for Fire Safety and Fire Extinguishing Equipment" (EAEU TR 043/2017)</t>
  </si>
  <si>
    <t>The draft amendments to the technical regulations of the Eurasian Economic Union "On Requirements for Fire Safety and Fire Extinguishing Equipment" (EAEU TR 043/2017) is developed in order to clarify and specify certain provisions of the technical regulations to ensure a uniform understanding and fulfillment of its requirements in the design, manufacture, conformity assessment and operation of fire safety and fire extinguishing equipment intended for issuance in circulation on the territory of the Eurasian Economic Union</t>
  </si>
  <si>
    <t>Fire safety andfire extinguishing equipment</t>
  </si>
  <si>
    <t>842410 - Fire extinguishers, whether or not charged</t>
  </si>
  <si>
    <t>13.220 - Protection against fire</t>
  </si>
  <si>
    <t>Review of Agenda for the Biennium 2024/2025</t>
  </si>
  <si>
    <t>National Institute of Metrology, Quality and Technology - Inmetro issued Ordinance 786, 26 December 2024 that review Inmetro Ordinance No. 629, 26 December 2023, which approves the update of the Regulatory Agenda for the biennium 2024/2025.</t>
  </si>
  <si>
    <t>Inmetro's Legal Metrology Directorate Regulatory Agenda for 2022/2023</t>
  </si>
  <si>
    <t>Consumer information, labelling (TBT); Protection of human health or safety (TBT); Quality requirements (TBT); Other (TBT)</t>
  </si>
  <si>
    <d:r xmlns:d="http://schemas.openxmlformats.org/spreadsheetml/2006/main">
      <d:rPr>
        <d:sz val="11"/>
        <d:rFont val="Calibri"/>
      </d:rPr>
      <d:t xml:space="preserve">https://www.in.gov.br/en/web/dou/-/portaria-n-786-de-26-de-dezembro-de-2024-604361652</d:t>
    </d:r>
  </si>
  <si>
    <t>Saudi Arabia, Kingdom of</t>
  </si>
  <si>
    <t>Notice of Administration Order of Saudi Food and Drug Authority Ref. No. 9125 dated 26 August 2024 entitled “Temporary ban on importation of poultry meat, eggs and their products originating from Morbihan in France”</t>
  </si>
  <si>
    <t xml:space="preserve">The Saudi Food and Drug Authority (SFDA) issued the Notice of Administration Order of Saudi Food and Drug Authority Ref. No. 9125 dated 26 August 2024 entitled “Temporary ban on importation of poultry meat, eggs and their products originating from Morbihan in France”. The Saudi Food and Drug Authority (SFDA) has subsequently issued the Notice Administrative Order No. 29393 dated 24 December 2024, lifting the temporary ban on the importation of poultry meat, eggs and their products originating from Morbihan in France, based on the WOAH report dated 17 December 2024, indicating that Morbihan  in France is free of Highly Pathogenic Avian Influenza Virus (HPAI)._x000D_
</t>
  </si>
  <si>
    <t>Poultry meat, eggs and their products</t>
  </si>
  <si>
    <t>0207 - Meat and edible offal of fowls of the species Gallus domesticus, ducks, geese, turkeys and guinea fowls, fresh, chilled or frozen; 0407 - Birds' eggs, in shell, fresh, preserved or cooked; 0207 - Meat and edible offal of fowls of the species Gallus domesticus, ducks, geese, turkeys and guinea fowls, fresh, chilled or frozen; 0407 - Birds' eggs, in shell, fresh, preserved or cooked</t>
  </si>
  <si>
    <t>Food safety (SPS); Animal health (SPS)</t>
  </si>
  <si>
    <t>Human health; Avian Influenza; Animal health; Food safety; Animal diseases; Pest- or Disease- free Regions / Regionalization; Withdrawal of the measure; Pest- or Disease- free Regions / Regionalization; Animal diseases; Food safety; Animal health; Human health; Avian Influenza</t>
  </si>
  <si>
    <d:r xmlns:d="http://schemas.openxmlformats.org/spreadsheetml/2006/main">
      <d:rPr>
        <d:sz val="11"/>
        <d:rFont val="Calibri"/>
      </d:rPr>
      <d:t xml:space="preserve">https://members.wto.org/crnattachments/2025/SPS/SAU/25_00083_00_x.pdf</d:t>
    </d:r>
  </si>
  <si>
    <t> Amendments to the Legal Inspection Requirements for Fire Doors of Buildings</t>
  </si>
  <si>
    <t>The purpose of this notification is to provide the final texts of "Amendments to the Legal Inspection Requirements for Fire Doors of Buildings" and relevant dates of its implementation. The draft texts notified in "G/TBT/N/TPKM/550" were adopted without changes.</t>
  </si>
  <si>
    <t>- Door and their frames and thresholds, of tropical wood: (HS code(s): 441821); Other door and their frames and thresholds, of wood: (HS code(s): 441829); Articles of stone or of other mineral substances, n.e.s. (HS code(s): 681599); Doors, windows and their frames and thresholds for doors, of iron or steel (HS code(s): 730830); Articles of copper, n.e.s. (HS code(s): 741980); Doors, windows and their frames and thresholds for door, of aluminium (excl. door furniture) (HS code(s): 761010)</t>
  </si>
  <si>
    <t>681599 - Articles of stone or of other mineral substances, n.e.s.; 730830 - Doors, windows and their frames and thresholds for doors, of iron or steel; 741980 - Articles of copper, n.e.s.; 761010 - Doors, windows and their frames and thresholds for door, of aluminium (excl. door furniture); 741980 - Articles of copper, n.e.s.; 730830 - Doors, windows and their frames and thresholds for doors, of iron or steel; 681599 - Articles of stone or of other mineral substances, n.e.s.; 761010 - Doors, windows and their frames and thresholds for door, of aluminium (excl. door furniture)</t>
  </si>
  <si>
    <t>91.060.50 - Doors and windows; 91.060.50 - Doors and windows</t>
  </si>
  <si>
    <t>Prevention of deceptive practices and consumer protection (TBT); Quality requirements (TBT)</t>
  </si>
  <si>
    <d:r xmlns:d="http://schemas.openxmlformats.org/spreadsheetml/2006/main">
      <d:rPr>
        <d:sz val="11"/>
        <d:rFont val="Calibri"/>
      </d:rPr>
      <d:t xml:space="preserve">https://members.wto.org/crnattachments/2025/TBT/TPKM/final_measure/25_00189_00_e.pdf
https://members.wto.org/crnattachments/2025/TBT/TPKM/final_measure/25_00189_00_x.pdf</d:t>
    </d:r>
  </si>
  <si>
    <t>Ordinance No. 674, 13 November 2024</t>
  </si>
  <si>
    <t>National Institute of Metrology, Quality and Technology – INMETRO approves the Technical Regulation for Low Voltage Electrical Devices - Consolidated.The following revoked: Inmetro Ordinance No. 497 13 December 2021, previously notified through G/TBT/N/BRA/1288/Add.1 is revoked within 36 (thirty-six) months from the effective date of this Ordinance.</t>
  </si>
  <si>
    <t>ELECTRICAL MACHINERY AND EQUIPMENT AND PARTS THEREOF; SOUND RECORDERS AND REPRODUCERS, TELEVISION IMAGE AND SOUND RECORDERS AND REPRODUCERS, AND PARTS AND ACCESSORIES OF SUCH ARTICLES (HS code(s): 85); Road vehicle systems (ICS code(s): 43.040)</t>
  </si>
  <si>
    <t>85 - ELECTRICAL MACHINERY AND EQUIPMENT AND PARTS THEREOF; SOUND RECORDERS AND REPRODUCERS, TELEVISION IMAGE AND SOUND RECORDERS AND REPRODUCERS, AND PARTS AND ACCESSORIES OF SUCH ARTICLES; 85 - ELECTRICAL MACHINERY AND EQUIPMENT AND PARTS THEREOF; SOUND RECORDERS AND REPRODUCERS, TELEVISION IMAGE AND SOUND RECORDERS AND REPRODUCERS, AND PARTS AND ACCESSORIES OF SUCH ARTICLES</t>
  </si>
  <si>
    <t>43.040 - Road vehicle systems; 43.040 - Road vehicle systems</t>
  </si>
  <si>
    <d:r xmlns:d="http://schemas.openxmlformats.org/spreadsheetml/2006/main">
      <d:rPr>
        <d:sz val="11"/>
        <d:rFont val="Calibri"/>
      </d:rPr>
      <d:t xml:space="preserve">https://members.wto.org/crnattachments/2025/TBT/BRA/final_measure/25_00100_00_x.pdf</d:t>
    </d:r>
  </si>
  <si>
    <t>DEAS 495-3: 2024, Plugs, socket-outlets, adaptors and connection units — Part 3: Specification for adaptors</t>
  </si>
  <si>
    <t xml:space="preserve">This part of Draft East African Standard specifies requirements for adaptors having insulating sleeves on the line and neutral plug pins and suitable for use with socket-outlets complying with EAS 495-2, with particular reference to safety in normal use. Adaptors specified in this part of EAS 495 are intended for household, commercial and light industrial purposes. The adaptors are suitable for the connection of portable appliances, sound-vision equipment, luminaires, etc., in a.c. circuits only, operating at voltages not exceeding 250 V r.m.s. at 50 Hz._x000D_
Adaptors incorporating electronic components detailed in Annex A are included within this part of EAS 495._x000D_
This standard also applies to shaver adaptors which have the earth pin replaced with a similarly dimensioned protrusion made of insulating material designated as an insulated shutter opening device (ISOD) designed to operate the shutter mechanism of a socket-outlet conforming to EAS 495‑2._x000D_
Adaptors conforming to this standard are shuttered and therefore do not require the use of additional means to shield the current carrying contacts when no plug is present in the adaptor socket-outlets._x000D_
Assemblies comprising a plug and one or more portable socket-outlets connected together by a flexible cord or cable are not considered to be adaptors according to this part of EAS 495. Devices incorporating switches, transformers, timers, thermostats or other control means are outside the scope of this part of EAS 495._x000D_
NOTE 1 The titles of the publications referred to in this standard are listed on the inside back cover._x000D_
NOTE 2 In order to maintain safety and interchangeability with plugs and socket-outlets it is necessary that these products comply with the requirements of Clause 9, Clause 12 and Clause 13, however their body outline need not be limited at a distance of 6.35 mm from the plug engagement face._x000D_
An adaptor is mechanical by nature of construction. The product is therefore immune from electromagnetic interference. An adaptor that does not incorporate electronic devices does not emit intolerable electromagnetic interference, since significant electromagnetic disturbances are only generated during insertion and withdrawal which are not continuous. This East African Standard does not cover:_x000D_
a) Direct plug-in devices_x000D_
b) Automatic electric controls_x000D_
c) Travel adaptors._x000D_
This standard applies to all adaptors in East African Region_x000D_
</t>
  </si>
  <si>
    <d:r xmlns:d="http://schemas.openxmlformats.org/spreadsheetml/2006/main">
      <d:rPr>
        <d:sz val="11"/>
        <d:rFont val="Calibri"/>
      </d:rPr>
      <d:t xml:space="preserve">https://members.wto.org/crnattachments/2025/TBT/RWA/25_00122_00_e.pdf</d:t>
    </d:r>
  </si>
  <si>
    <t>Eurasian Economic Commission Collegium Draft Decision on amendments to the Section 19 of the Chapter II of the Common sanitary-epidemiological and hygienic requirements for products subject to sanitary-epidemiological supervision (control)</t>
  </si>
  <si>
    <t>The draft provides for the updating of the Section 19 of the Chapter II of the Common sanitary-epidemiological and hygienic requirements for products subject to sanitary-epidemiological supervision (control) which regulates the requirements for chemical and petrochemical industrial products</t>
  </si>
  <si>
    <t>Chemical and petrochemical industrial products</t>
  </si>
  <si>
    <t>71.100 - Products of the chemical industry; 75.080 - Petroleum products in general</t>
  </si>
  <si>
    <t>Ordinance No. 676, 21 November 2024</t>
  </si>
  <si>
    <t>National Institute of Metrology, Quality and Technology – Inmetro, approves the Inmetro Normative Instruction and the Conformity Assessment Requirements for Civil Construction Materials and Equipment - Consolidated.Inmetro Ordinance 676 revokes:I - No. 658, 17 December 2012, published in the Official Gazette of the Union on 19 December, 2012, section 1, page 100;II - No. 261, 5 June 2014, published in the Official Gazette of the Union on 9 June 2012, section 1, page 102;III - No. 262, 5 June 2014, published in the Official Gazette of the Union on 9 June 2012, section 1, page 102;IV - No. 346, 24 July 2014, published in the Official Gazette of the Union on 25 July 2014, section 1, page 74;V - No. 406, 26 August 2014, published in the Official Gazette of the Union on 28 August 2014, section 1, page 94;VI - No. 412, 1 September 2014, published in the Official Gazette of the Union on 3 September 2014, section 1, page 86;VII - No. 413, 1 September 2014, published in the Official Gazette of the Union on 3 September 2014, section 1, page 86;VIII - No. 548, 17 December 2014, published in the Official Gazette of the Union on 19 December 2014, section 1, page 249;IX - No. 529, 16 October 2015, published in the Official Gazette of the Union on 20 October 2014, section 1, page 50; andX - No. 286, 29 June 2021, published in the Official Gazette of the Union on 2 July 2021, section 1, pages 47 to 48.</t>
  </si>
  <si>
    <t>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 (HS code(s): 7308); Construction materials (ICS code(s): 91.100)</t>
  </si>
  <si>
    <t>7308 - 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 7308 - 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t>
  </si>
  <si>
    <t>91.100 - Construction materials; 91.100 - Construction materials</t>
  </si>
  <si>
    <t>Quality requirements (TBT)</t>
  </si>
  <si>
    <d:r xmlns:d="http://schemas.openxmlformats.org/spreadsheetml/2006/main">
      <d:rPr>
        <d:sz val="11"/>
        <d:rFont val="Calibri"/>
      </d:rPr>
      <d:t xml:space="preserve">https://members.wto.org/crnattachments/2025/TBT/BRA/final_measure/25_00097_00_x.pdf</d:t>
    </d:r>
  </si>
  <si>
    <t>DKS 2455: 2024 Food safety — General standard</t>
  </si>
  <si>
    <t>Kenya would like to inform WTO Members that the Kenya Standard—Food safety—General Standard, Second Edition; notified in G/TBT/N/KEN/1640 as DKS 2455: 2024 Food safety — General standard, was adopted and published on 29th November 2024 via gazette notice No. 206 dated 29th November 2024A copy of the document can be obtained via the following link at a basic fee: https://webstore.kebs.org</t>
  </si>
  <si>
    <t>Microbiology in general (ICS code(s): 07.100.01)</t>
  </si>
  <si>
    <t>07.100.01 - Microbiology in general; 67.020 - Processes in the food industry; 67.020 - Processes in the food industry; 67.040 - Food products in general; 67.040 - Food products in general; 07.100.01 - Microbiology in general</t>
  </si>
  <si>
    <t>Prevention of deceptive practices and consumer protection (TBT); Protection of human health or safety (TBT); Quality requirements (TBT); Reducing trade barriers and facilitating trade (TBT); Cost saving and productivity enhancement (TBT)</t>
  </si>
  <si>
    <t>Draft Resolution 1279, 6 September 2024</t>
  </si>
  <si>
    <t>Draft Resolution 1279, 6 September 2024 - previously notified through  G/SPS/N/BRA/2331 - was adopted as Normative Instruction 339, 12 December 2024. The regulation proposes the inclusion of active ingredient Q06 - CHITOSAN on the Monograph List of Active Ingredients for Pesticides, Household Cleaning Products and Wood Preservatives, published by Normative Instruction 103 on 19 October 2021 in the Brazilian Official Gazette (DOU - Diário Oficial da União). The final text is available only in Portuguese and can be downloaded at:</t>
  </si>
  <si>
    <t>Environment. Health protection. Safety (ICS code(s): 13)</t>
  </si>
  <si>
    <t>13 - ENVIRONMENT. HEALTH PROTECTION. SAFETY; 13 - ENVIRONMENT. HEALTH PROTECTION. SAFETY</t>
  </si>
  <si>
    <t>Food safety; Human health; Adoption/publication/entry into force of reg.; Food safety; Human health</t>
  </si>
  <si>
    <d:r xmlns:d="http://schemas.openxmlformats.org/spreadsheetml/2006/main">
      <d:rPr>
        <d:sz val="11"/>
        <d:rFont val="Calibri"/>
      </d:rPr>
      <d:t xml:space="preserve">https://anvisalegis.datalegis.net/action/UrlPublicasAction.php?acao=abrirAtoPublico&amp;num_ato=00000339&amp;sgl_tipo=INM&amp;sgl_orgao=DC/ANVISA/MS&amp;vlr_ano=2024&amp;seq_ato=000&amp;cod_modulo=134&amp;cod_menu=1696</d:t>
    </d:r>
  </si>
  <si>
    <t>DKS 3009: 2024 Biodegradable polymer materials for plant seedling potting — Specification </t>
  </si>
  <si>
    <t>Kenya would like to inform WTO Members that the Kenya Standard—Biodegradable polymer materials for plant seedling potting ─ Specification, First Edition; notified in G/TBT/N/KEN/1608 as DKS 3009: 2024 Biodegradable polymer materials for plant seedling potting — Specification, was adopted and published on 29th November 2024 via gazette notice No. 206 dated 29th November 2024A copy of the document can be obtained via the following link at a basic fee: https://webstore.kebs.org</t>
  </si>
  <si>
    <t>Plastics in general (ICS code(s): 83.080.01)</t>
  </si>
  <si>
    <t>83.080.01 - Plastics in general; 83.080.01 - Plastics in general</t>
  </si>
  <si>
    <t>Consumer information, labelling (TBT); Prevention of deceptive practices and consumer protection (TBT); Quality requirements (TBT); Reducing trade barriers and facilitating trade (TBT); Cost saving and productivity enhancement (TBT)</t>
  </si>
  <si>
    <t>Resolución 0280: Establecimiento de los requisitos fitosanitarios de cumplimiento obligatorio para la importación de fruta fresca de limón (Citrus limon), para consumo, originarias de Argentina (Resolution No. 0280 establishing mandatory phytosanitary requirements for the importation, for consumption, of fresh lemons (Citrus limon) from Argentina)</t>
  </si>
  <si>
    <t>The notified Resolution establishes mandatory phytosanitary requirements for the importation, for consumption, of fresh lemons (Citrus limon) from Argentina.</t>
  </si>
  <si>
    <t>Fresh lemons (Citrus limon)</t>
  </si>
  <si>
    <t>080550 - Fresh or dried lemons "Citrus limon, Citrus limonum" and limes "Citrus aurantifolia, Citrus latifolia"</t>
  </si>
  <si>
    <d:r xmlns:d="http://schemas.openxmlformats.org/spreadsheetml/2006/main">
      <d:rPr>
        <d:sz val="11"/>
        <d:rFont val="Calibri"/>
      </d:rPr>
      <d:t xml:space="preserve">https://members.wto.org/crnattachments/2025/SPS/ECU/25_00056_00_s.pdf</d:t>
    </d:r>
  </si>
  <si>
    <t>United Arab Emirates</t>
  </si>
  <si>
    <t>Labeling – Energy Efficiency Label for Electrical Appliances Part 4 – Electrical water heater</t>
  </si>
  <si>
    <t>This Standard specifies the Energy Performance Standard and testing requirements of electric storage water heaters and Instantaneous electric water heatersIt shall apply to water heaters with power under or equal to 70 kW.It shall apply to products with a capacity up to 2,000 liters for all types of water heaters</t>
  </si>
  <si>
    <t>Mechanical structures for electronic equipment (ICS code(s): 31.240)</t>
  </si>
  <si>
    <t>31.240 - Mechanical structures for electronic equipment</t>
  </si>
  <si>
    <t>Consumer information, labelling (TBT); Prevention of deceptive practices and consumer protection (TBT); Protection of the environment (TBT); Quality requirements (TBT)</t>
  </si>
  <si>
    <d:r xmlns:d="http://schemas.openxmlformats.org/spreadsheetml/2006/main">
      <d:rPr>
        <d:sz val="11"/>
        <d:rFont val="Calibri"/>
      </d:rPr>
      <d:t xml:space="preserve">https://members.wto.org/crnattachments/2025/TBT/ARE/25_00087_00_x.pdf</d:t>
    </d:r>
  </si>
  <si>
    <t>Eurasian Economic Commission Collegium Draft Decision on amendments to the Section 3 of the Chapter II of the Common sanitary-epidemiological and hygienic requirements for products subject to sanitary-epidemiological supervision (control)</t>
  </si>
  <si>
    <t>The draft provides for the updating of the Section 3 of the Chapter II of the Common sanitary-epidemiological and hygienic requirements for products subject to sanitary-epidemiological supervision (control) which regulates the requirements for materials, reagents, equipment for water treatment and water purification.</t>
  </si>
  <si>
    <t>Materials, reagents, equipment for water treatment and water purification</t>
  </si>
  <si>
    <t>13.060 - Water quality</t>
  </si>
  <si>
    <t>DKS 3031: 2024 Specification for holding down bolts</t>
  </si>
  <si>
    <t>This Kenya Standard specifies the characteristics of holding down bolts with threads from M16 up to and including M64 of product grade C for use in connecting steel structures to their foundations and in similar applications.Bolts with square heads and square necks are specified. Two possible forms of square neck are covered.Bolts with hexagon heads are also specified.Other forms of holding down bolts are not covered.Holding down bolts are used with hexagon nuts in accordance with ISO 4032 or ISO 4034 and may be used with washers in accordance with ISO 7091, or alternatively, washers in accordance with BS 4320:1968, Form G may be specified.</t>
  </si>
  <si>
    <t>Screws, bolts, nuts, coach screws, screw hooks, rivets, cotters, cotter pins, washers, incl. spring washers, and similar articles, of iron or steel (excl. lag screws, stoppers, plugs and the like, threaded) (HS code(s): 7318); Bolts, screws, studs (ICS code(s): 21.060.10)</t>
  </si>
  <si>
    <t>7318 - Screws, bolts, nuts, coach screws, screw hooks, rivets, cotters, cotter pins, washers, incl. spring washers, and similar articles, of iron or steel (excl. lag screws, stoppers, plugs and the like, threaded)</t>
  </si>
  <si>
    <t>21.060.10 - Bolts, screws, studs</t>
  </si>
  <si>
    <t>Quality requirements (TBT); Reducing trade barriers and facilitating trade (TBT)</t>
  </si>
  <si>
    <d:r xmlns:d="http://schemas.openxmlformats.org/spreadsheetml/2006/main">
      <d:rPr>
        <d:sz val="11"/>
        <d:rFont val="Calibri"/>
      </d:rPr>
      <d:t xml:space="preserve">https://members.wto.org/crnattachments/2025/TBT/KEN/25_00162_00_e.pdf</d:t>
    </d:r>
  </si>
  <si>
    <t>Rectification of Inmetro Ordinance No. 145, 28 March 2022, which approves the Technical Quality Regulations and Conformity Assessment Requirements for Automotive Components - Consolidated, published in the Official Gazette of the Union on 31 March 31, 2022, pages 96 to 119, section 1.</t>
  </si>
  <si>
    <t>Brakes, radiators, mufflers, exhaust pipes, clutches, steering wheels, etc.</t>
  </si>
  <si>
    <t>8708 - Parts and accessories for tractors, motor vehicles for the transport of ten or more persons, motor cars and other motor vehicles principally designed for the transport of persons, motor vehicles for the transport of goods and special purpose motor vehicles of heading 8701 to 8705, n.e.s.; 8708 - Parts and accessories for tractors, motor vehicles for the transport of ten or more persons, motor cars and other motor vehicles principally designed for the transport of persons, motor vehicles for the transport of goods and special purpose motor vehicles of heading 8701 to 8705, n.e.s.; 8708 - Parts and accessories for tractors, motor vehicles for the transport of ten or more persons, motor cars and other motor vehicles principally designed for the transport of persons, motor vehicles for the transport of goods and special purpose motor vehicles of heading 8701 to 8705, n.e.s.</t>
  </si>
  <si>
    <t>43.040 - Road vehicle systems; 43.040 - Road vehicle systems; 43.040 - Road vehicle systems; 43.060.20 - Pressure charging and air/exhaust gas ducting systems; 43.060.20 - Pressure charging and air/exhaust gas ducting systems; 43.060.20 - Pressure charging and air/exhaust gas ducting systems</t>
  </si>
  <si>
    <t>Corrigendum to Regular Notification</t>
  </si>
  <si>
    <d:r xmlns:d="http://schemas.openxmlformats.org/spreadsheetml/2006/main">
      <d:rPr>
        <d:sz val="11"/>
        <d:rFont val="Calibri"/>
      </d:rPr>
      <d:t xml:space="preserve">https://members.wto.org/crnattachments/2025/TBT/BRA/25_00108_00_x.pdf</d:t>
    </d:r>
  </si>
  <si>
    <t>AFDC 15 (769) DTZS:2024, Pizza bread – Specification, First Edition</t>
  </si>
  <si>
    <t>This Tanzania Standard specifies requirements, methods of sampling and test of pizza bread intended for making pizza. Note: This Draft Tanzania Standard was also notified under TBT Committee.</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</si>
  <si>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(HS code(s): 190590); Sugar. Sugar products. Starch (ICS code(s): 67.180); Pizza bread</t>
  </si>
  <si>
    <t>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</si>
  <si>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t>67.180 - Sugar. Sugar products. Starch</t>
  </si>
  <si>
    <t>Food safety; Human health</t>
  </si>
  <si>
    <d:r xmlns:d="http://schemas.openxmlformats.org/spreadsheetml/2006/main">
      <d:rPr>
        <d:sz val="11"/>
        <d:rFont val="Calibri"/>
      </d:rPr>
      <d:t xml:space="preserve">https://members.wto.org/crnattachments/2025/SPS/TZA/25_00071_00_s.pdf</d:t>
    </d:r>
  </si>
  <si>
    <t>Ordinance No. 736, 10 December 2024</t>
  </si>
  <si>
    <t>National Institute of Metrology, Quality and Technology - Inmetro, amends Inmetro Ordinance No. 332, 2 August 2021, which approves the Conformity Assessment Requirements for Refrigerators and Similar – Consolidated.</t>
  </si>
  <si>
    <t>All products, services and processes that are subject to a conformity assessment procedure; Product and company certification</t>
  </si>
  <si>
    <d:r xmlns:d="http://schemas.openxmlformats.org/spreadsheetml/2006/main">
      <d:rPr>
        <d:sz val="11"/>
        <d:rFont val="Calibri"/>
      </d:rPr>
      <d:t xml:space="preserve">https://members.wto.org/crnattachments/2025/TBT/BRA/final_measure/25_00114_00_x.pdf</d:t>
    </d:r>
  </si>
  <si>
    <t>Partial amendment to the Sanitary Technical Regulation on good practices for storage, distribution and/or transportation for pharmaceutical establishments and establishments manufacturing medical devices for human use</t>
  </si>
  <si>
    <t xml:space="preserve">Amendment to the Sanitary Technical Regulation on good practices for storage, distribution and/or transportation for pharmaceutical establishments and establishments manufacturing medical devices for human use  1 This information can be provided by including a website address, a PDF attachment, or other information on where the text of the final measure/change to the measure/interpretative guidance can be obtained. G/TBT/N/ECU/504/Add.4 - 2 -   By means of this Addendum, the Republic of Ecuador advises that the Amendment to the Sanitary Technical Regulation on good practices for storage, distribution and/or transportation for pharmaceutical establishments and establishments manufacturing medical devices for human use has been issued pursuant to Resolution No. ARCSA-DE-2024-047-DASP of 12 December 2024 of the National Agency for Sanitary Regulation, Control and Surveillance (ARCSA, Doctor Leopoldo Izquieta Pérez). The notified Sanitary Technical Regulation will enter into force six months after its signature, without prejudice to its publication in the Official Journal. Text available from: Ministerio de Producción, Comercio Exterior, Inversiones y Pesca (Ministry of Production, Foreign Trade, Investment and Fisheries), Subsecretaría de Calidad (Under-Secretariat for Quality), Organismo Nacional de Notificación (National Notification Authority) TBT enquiry point: Eduardo Yépez Plataforma Gubernamental de Gestión Financiera - Piso 8 Bloque amarillo Av. Amazonas entre Unión Nacional de Periodistas y Alfonso Pereira Quito, Ecuador Tel.: (+593) 2 3948760, Ext. 2252/2254 Email: Puntocontacto-OTCECU@produccion.gob.ec PuntocontactoECU@gmail.com cyepez@produccion.gob.ec __________</t>
  </si>
  <si>
    <t>Proyecto de reforma parcial a la Normativa Técnica Sanitaria de Buenas Prácticas de Almacenamiento, Distribución y/o Transporte para establecimientos farmacéuticos y establecimientos de dispositivos médicos de uso humano (Draft Partial Amendment to the Sanitary Technical Regulation on good practices for storage, distribution and/or transportation for pharmaceutical establishments and establishments manufacturing medical devices for human use)</t>
  </si>
  <si>
    <t>11.120 - Pharmaceutics; 11.120 - Pharmaceutics</t>
  </si>
  <si>
    <t>Consumer information, labelling (TBT); Prevention of deceptive practices and consumer protection (TBT); Protection of human health or safety (TBT)</t>
  </si>
  <si>
    <t>Human health; Human health</t>
  </si>
  <si>
    <d:r xmlns:d="http://schemas.openxmlformats.org/spreadsheetml/2006/main">
      <d:rPr>
        <d:sz val="11"/>
        <d:rFont val="Calibri"/>
      </d:rPr>
      <d:t xml:space="preserve">https://members.wto.org/crnattachments/2025/TBT/ECU/final_measure/25_00101_00_s.pdf
www.controlsanitario.gob.ec</d:t>
    </d:r>
  </si>
  <si>
    <t>DKS 1142: 2024 Specification for polyolefin agricultural twines</t>
  </si>
  <si>
    <t>Kenya would like to inform WTO Members that the Kenya Standard—Polyolefin twines— Specification, Second Edition; notified in G/TBT/N/KEN/1603 as DKS 1142: 2024 Specification for polyolefin agricultural twines, was adopted and published on 29th November 2024 via gazette notice No. 206 dated 29th November 2024.A copy of the document can be obtained via the following link at a basic fee: https://webstore.kebs.org</t>
  </si>
  <si>
    <t>Products of the textile industry (ICS code(s): 59.080)</t>
  </si>
  <si>
    <t>59.080 - Products of the textile industry; 59.080 - Products of the textile industry</t>
  </si>
  <si>
    <t>Consumer information, labelling (TBT); Prevention of deceptive practices and consumer protection (TBT); Quality requirements (TBT); Reducing trade barriers and facilitating trade (TBT)</t>
  </si>
  <si>
    <t>Draft resolution 1304, 27 December 2024</t>
  </si>
  <si>
    <t>This Draft Resolution proposes updating the list of substances that cannot be used in personal hygiene products, cosmetics and perfumes.</t>
  </si>
  <si>
    <t>Health care technology (ICS code(s): 11)</t>
  </si>
  <si>
    <t>71.100.70 - Cosmetics. Toiletries; 11 - Health care technology</t>
  </si>
  <si>
    <d:r xmlns:d="http://schemas.openxmlformats.org/spreadsheetml/2006/main">
      <d:rPr>
        <d:sz val="11"/>
        <d:rFont val="Calibri"/>
      </d:rPr>
      <d:t xml:space="preserve">https://members.wto.org/crnattachments/2025/TBT/BRA/25_00121_00_x.pdf</d:t>
    </d:r>
  </si>
  <si>
    <t>Notice of Saudi Food and Drug Authority (SFDA), Decision No. 33906 dated 13 June 2024 entitled “Temporary ban of importation of salmon originated from Liège, Belgium”</t>
  </si>
  <si>
    <t>The Saudi Food and Drug Authority (SFDA) issued the Notice of Saudi Food and Drug Authority (SFDA), Decision No. 33906 dated 13 June 2024 entitled "Temporary ban of importation of salmon originated from Liège, Belgium”. The Saudi Food and Drug Authority (SFDA) has subsequently issued the Notice Administrative Order No. 30528 dated 2 January 2025, lifting the temporary ban on the importation of salmon originating from Liège in Belgium, based on the WOAH report dated 6 December 2024, indicating that Liège in Belgium is free of infectious hematopoietic necrosis virus.</t>
  </si>
  <si>
    <t>Salmon</t>
  </si>
  <si>
    <t>03021 - - Salmonidae, excluding edible fish offal of subheadings 0302.91 to 0302.99 :; 03031 - - Salmonidae, excluding edible fish offal of subheadings 0303.91 to 0303.99 :; 030441 - Fresh or chilled fillets of Pacific salmon "Oncorhynchus nerka, Oncorhynchus gorbuscha, Oncorhynchus keta, Oncorhynchus tschawytscha, Oncorhynchus kisutch, Oncorhynchus masou and Oncorhynchus rhodurus", Atlantic salmon "Salmo salar" and Danube salmon "Hucho hucho"; 030452 - Fresh or chilled meat, whether or not minced, of salmonidae (excl. fillets); 030481 - Frozen fillets of Pacific salmon "Oncorhynchus nerka, Oncorhynchus gorbuscha, Oncorhynchus keta, Oncorhynchus tschawytscha, Oncorhynchus kisutch, Oncorhynchus masou and Oncorhynchus rhodurus", Atlantic salmon "Salmo salar" and Danube salmon "Hucho hucho"; 030541 - Smoked Pacific salmon "Oncorhynchus nerka, Oncorhynchus gorbuscha, Oncorhynchus keta, Oncorhynchus tschawytscha, Oncorhynchus kisutch, Oncorhynchus masou and Oncorhynchus rhodurus", Atlantic salmon "Salmo salar" and Danube salmon "Hucho hucho", incl. fillets (excl. offal); 160411 - Prepared or preserved salmon, whole or in pieces (excl. minced); 03021 - - Salmonidae, excluding edible fish offal of subheadings 0302.91 to 0302.99 :; 03031 - - Salmonidae, excluding edible fish offal of subheadings 0303.91 to 0303.99 :; 030441 - Fresh or chilled fillets of Pacific salmon "Oncorhynchus nerka, Oncorhynchus gorbuscha, Oncorhynchus keta, Oncorhynchus tschawytscha, Oncorhynchus kisutch, Oncorhynchus masou and Oncorhynchus rhodurus", Atlantic salmon "Salmo salar" and Danube salmon "Hucho hucho"; 030452 - Fresh or chilled meat, whether or not minced, of salmonidae (excl. fillets); 030481 - Frozen fillets of Pacific salmon "Oncorhynchus nerka, Oncorhynchus gorbuscha, Oncorhynchus keta, Oncorhynchus tschawytscha, Oncorhynchus kisutch, Oncorhynchus masou and Oncorhynchus rhodurus", Atlantic salmon "Salmo salar" and Danube salmon "Hucho hucho"; 030541 - Smoked Pacific salmon "Oncorhynchus nerka, Oncorhynchus gorbuscha, Oncorhynchus keta, Oncorhynchus tschawytscha, Oncorhynchus kisutch, Oncorhynchus masou and Oncorhynchus rhodurus", Atlantic salmon "Salmo salar" and Danube salmon "Hucho hucho", incl. fillets (excl. offal); 160411 - Prepared or preserved salmon, whole or in pieces (excl. minced)</t>
  </si>
  <si>
    <t>Pest- or Disease- free Regions / Regionalization; Animal diseases; Food safety; Animal health; Human health; Withdrawal of the measure; Pest- or Disease- free Regions / Regionalization; Animal diseases; Food safety; Animal health; Human health</t>
  </si>
  <si>
    <d:r xmlns:d="http://schemas.openxmlformats.org/spreadsheetml/2006/main">
      <d:rPr>
        <d:sz val="11"/>
        <d:rFont val="Calibri"/>
      </d:rPr>
      <d:t xml:space="preserve">https://members.wto.org/crnattachments/2025/SPS/SAU/25_00073_00_x.pdf</d:t>
    </d:r>
  </si>
  <si>
    <t>DKS 3011:2024 Nixtamalization of maize grains — Code of Practice</t>
  </si>
  <si>
    <t>Kenya would like to inform WTO Members that the Kenya Standard—Nixtamalized maize products—Code of practice, First Edition; notified in G/TBT/N/KEN/1626 as DKS 3011:2024 Nixtamalization of maize grains — Code of Practice,  was adopted and published on 29th November 2024 via gazette notice No. 206 dated 29th November 2024A copy of the document can be obtained via the following link at a basic fee: https://webstore.kebs.org</t>
  </si>
  <si>
    <t>Consumer information, labelling (TBT); Prevention of deceptive practices and consumer protection (TBT); Protection of human health or safety (TBT); Quality requirements (TBT)</t>
  </si>
  <si>
    <t>Legal Inspection Requirements for Stationary Lithium Battery Storage Appliances</t>
  </si>
  <si>
    <t>The purpose of this notification is to provide the final texts of "Legal Inspection Requirements for Stationary Lithium Battery Storage Appliances" and relevant dates of its implementation. The draft texts notified in "G/TBT/N/TPKM/544" were adopted with minor changes.</t>
  </si>
  <si>
    <t>Static converters (HS code(s): 850440); Lithium-ion accumulators (excl. spent) (HS code(s): 850760); Electric accumulators (excl. spent, and lead-acid, nickel-cadmium, nickel-metal hydride and lithium-ion accumulators) (HS code(s): 850780)</t>
  </si>
  <si>
    <t>850440 - Static converters; 850760 - Lithium-ion accumulators (excl. spent); 850780 - Electric accumulators (excl. spent, and lead-acid, nickel-cadmium, nickel-metal hydride and lithium-ion accumulators); 850440 - Static converters; 850760 - Lithium-ion accumulators (excl. spent); 850780 - Electric accumulators (excl. spent, and lead-acid, nickel-cadmium, nickel-metal hydride and lithium-ion accumulators)</t>
  </si>
  <si>
    <t>29.220 - Galvanic cells and batteries; 29.220 - Galvanic cells and batteries</t>
  </si>
  <si>
    <t>Protection of human health or safety (TBT); Protection of the environment (TBT)</t>
  </si>
  <si>
    <d:r xmlns:d="http://schemas.openxmlformats.org/spreadsheetml/2006/main">
      <d:rPr>
        <d:sz val="11"/>
        <d:rFont val="Calibri"/>
      </d:rPr>
      <d:t xml:space="preserve">https://members.wto.org/crnattachments/2025/TBT/TPKM/final_measure/25_00133_00_e.pdf
https://members.wto.org/crnattachments/2025/TBT/TPKM/final_measure/25_00133_00_x.pdf</d:t>
    </d:r>
  </si>
  <si>
    <t>The Amendment of the Draft Food (Trans Fat) Regulations 2021</t>
  </si>
  <si>
    <t>It was decided to amend the Draft Food (Trans fat) Regulations 2021, dated 29 April 2021, notified as G/SPS/N/LKA/45 by Sri Lanka.The Food (Trans-Fat) Regulations 2022, published in Gazette Extraordinary, No. 2319/41 of 14 February 2023 as amended by regulations published in Gazette Extraordinary, No. 2364/25 of 27 December 2023 is hereby amended.These regulations may be cited as Food (Trans-Fat) Regulations, 2022 and will come into force on 1 July 2025.</t>
  </si>
  <si>
    <t>02 - MEAT AND EDIBLE MEAT OFFAL; 02 - MEAT AND EDIBLE MEAT OFFAL</t>
  </si>
  <si>
    <t>Human health; Food safety; Change in date of adoption/publication/entry into force; Human health; Food safety</t>
  </si>
  <si>
    <d:r xmlns:d="http://schemas.openxmlformats.org/spreadsheetml/2006/main">
      <d:rPr>
        <d:sz val="11"/>
        <d:rFont val="Calibri"/>
      </d:rPr>
      <d:t xml:space="preserve">https://members.wto.org/crnattachments/2025/SPS/LKA/25_00090_00_e.pdf</d:t>
    </d:r>
  </si>
  <si>
    <t>New Zealand</t>
  </si>
  <si>
    <t>Reducing the impact of plastic on our environment - moving away from hard-to-recycle and single-use items: consultation documenthttps://www.mfe.govt.nz/publications/waste/reducing-impact-of-plastic-our-environment-moving-away-from-hard-to-recycle-and-single-use-items</t>
  </si>
  <si>
    <t>The Waste Minimisation (Plastic and Related Products) Amendment Regulations 2022 (the Regulations) were finalised on 28 November 2022, giving effect to the second tranche of proposals that phase out problematic single-use and hard-to-recycle plastic items over three tranches. The Tranche 2 proposals entered into force on 1 July 2023.The Regulations set the requirement for produce labels (i.e. fruit and vegetable stickers) to be home-compostable (i.e. the label must meet specified certifications in the regulations) with a phased entry for imported produce. Labels applied to domestically grown produce for sale on the New Zealand market were required to be home compostable as of 1 July 2023. This effective date excluded the adhesive (glue) which is required to be home compostable by 1 July 2025.With a view to minimising the effect on trade, labels applied to imported produce for sale on the New Zealand market were to be home compostable (including the label adhesive (glue)) by mid-2025. The date for all produce sold in New Zealand to have certified home compostable labels (including its adhesive) will now be extended to 1 July 2028 to align with manufacturer readiness and similar international regulations.</t>
  </si>
  <si>
    <t>Specific single-use plastic items</t>
  </si>
  <si>
    <t>55.080 - Sacks. Bags; 55.080 - Sacks. Bags; 83.080 - Plastics; 83.080 - Plastics; 97.040.60 - Cookware, cutlery and flatware; 97.040.60 - Cookware, cutlery and flatware</t>
  </si>
  <si>
    <t>Protection of animal or plant life or health (TBT); Protection of the environment (TBT)</t>
  </si>
  <si>
    <d:r xmlns:d="http://schemas.openxmlformats.org/spreadsheetml/2006/main">
      <d:rPr>
        <d:sz val="11"/>
        <d:rFont val="Calibri"/>
      </d:rPr>
      <d:t xml:space="preserve">https://www.legislation.govt.nz/act/public/2008/0089/latest/secondary.aspx?sds=aa&amp;sdr=1&amp;sda=1</d:t>
    </d:r>
  </si>
  <si>
    <t>AFDC 15 (2799) DTZS, Halwa – Specification, First Edition</t>
  </si>
  <si>
    <t>This Tanzania Standard specifies requirements, methods of sampling and test of halwa intended for human consumption. Note: This Draft Tanzania Standard was also notified under TBT Committee.</t>
  </si>
  <si>
    <t>Sugar confectionery not containing cocoa, incl. white chocolate (excl. chewing gum) (HS code(s): 170490); Sugar and sugar products (ICS code(s): 67.180.10); Halwa</t>
  </si>
  <si>
    <t>170490 - Sugar confectionery not containing cocoa, incl. white chocolate (excl. chewing gum)</t>
  </si>
  <si>
    <t>67.180.10 - Sugar and sugar products</t>
  </si>
  <si>
    <d:r xmlns:d="http://schemas.openxmlformats.org/spreadsheetml/2006/main">
      <d:rPr>
        <d:sz val="11"/>
        <d:rFont val="Calibri"/>
      </d:rPr>
      <d:t xml:space="preserve">https://members.wto.org/crnattachments/2025/SPS/TZA/25_00066_00_e.pdf</d:t>
    </d:r>
  </si>
  <si>
    <t>Proposal for Amendments to the Legal Inspection Requirements for Electric Insect Killers and 6 Other Electrical Appliances</t>
  </si>
  <si>
    <t>In response to the safety concerns of secondary batteries which resulted in increasing incidents of explosion, BSMI proposes to include products with secondary cells/batteries in the inspection scope based on a staged approach. In addition to that, handheld insect swatters using secondary batteries are also getting popular among consumers recently. As a result of risk assessment, BSMI proposes that electric insect killers (including insect swatters) and 6 other electrical appliances and the secondary lithium cells/batteries used by these products shall comply with CNS 13564: 2013 and Sections 7.3.8.1 “vibration” and 7.3.8.2 “mechanical shock” of CNS 62133-2: 2018.</t>
  </si>
  <si>
    <t>Electric blankets of all types of textile materials (HS code(s): 630110); Made-up articles of textile materials, incl. dress patterns, n.e.s. (HS code(s): 630790); Domestic food grinders and mixers and fruit or vegetable juice extractors, with self-contained electric motor (HS code(s): 850940); Electromechanical domestic appliances, with self-contained electric motor (excl. vacuum cleaners, dry and wet vacuum cleaners, food grinders and mixers, fruit or vegetable juice extractors, and hair-removing appliances) (HS code(s): 850980); Shavers, electric (HS code(s): 851010); Hair clippers with self-contained electric motor (HS code(s): 851020); Electric space-heating and soil-heating apparatus (excl. storage heating radiators) (HS code(s): 851629); 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 (HS code(s): 851679); Electrical machines and apparatus, having individual functions, n.e.s. in chapter 85 (HS code(s): 854370); - Mattresses: (HS code(s): 94042); Sleeping bags, whether or non-electrically heated (HS code(s): 940430); Quilts, bedspreads, eiderdowns and duvets "comforters" (HS code(s): 940440); Articles of bedding and similar furnishing, fitted with springs or stuffed or internally filled with any material or of cellular rubber or plastics (excl. mattress supports, mattresses, sleeping bags, pneumatic or water mattresses, blankets, covers, quilts, bedspreads, eiderdowns and duvets "comforters") (HS code(s): 940490)</t>
  </si>
  <si>
    <t>850980 - Electromechanical domestic appliances, with self-contained electric motor (excl. vacuum cleaners, dry and wet vacuum cleaners, food grinders and mixers, fruit or vegetable juice extractors, and hair-removing appliances); 854370 - Electrical machines and apparatus, having individual functions, n.e.s. in chapter 85; 630110 - Electric blankets of all types of textile materials; 630790 - Made-up articles of textile materials, incl. dress patterns, n.e.s.; 851629 - Electric space-heating and soil-heating apparatus (excl. storage heating radiators); 851679 - 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 940430 - Sleeping bags, whether or non-electrically heated; 940490 - Articles of bedding and similar furnishing, fitted with springs or stuffed or internally filled with any material or of cellular rubber or plastics (excl. mattress supports, mattresses, sleeping bags, pneumatic or water mattresses, blankets, covers, quilts, bedspreads, eiderdowns and duvets "comforters"); 94042 - - Mattresses:; 940440 - Quilts, bedspreads, eiderdowns and duvets "comforters"; 850940 - Domestic food grinders and mixers and fruit or vegetable juice extractors, with self-contained electric motor; 851010 - Shavers, electric; 851020 - Hair clippers with self-contained electric motor</t>
  </si>
  <si>
    <t>97.040.50 - Small kitchen appliances; 97.100 - Domestic, commercial and industrial heating appliances; 97.180 - Miscellaneous domestic and commercial equipment</t>
  </si>
  <si>
    <d:r xmlns:d="http://schemas.openxmlformats.org/spreadsheetml/2006/main">
      <d:rPr>
        <d:sz val="11"/>
        <d:rFont val="Calibri"/>
      </d:rPr>
      <d:t xml:space="preserve">https://members.wto.org/crnattachments/2025/TBT/TPKM/25_00190_00_e.pdf
https://members.wto.org/crnattachments/2025/TBT/TPKM/25_00190_00_x.pdf</d:t>
    </d:r>
  </si>
  <si>
    <t>DKS 2294: 2024 Aluminium Foil for Household Use— Specification </t>
  </si>
  <si>
    <t>Kenya would like to inform WTO Members that the Kenya Standard—Aluminium foil for household use—Specification, Second Edition; notified in G/TBT/N/KEN/1639 as DKS 2294: 2024 Aluminium Foil for Household Use— Specification, was adopted and published on 29th November 2024 via gazette notice No. 206 dated 29th November 2024A copy of the document can be obtained via the following link at a basic fee: https://webstore.kebs.org</t>
  </si>
  <si>
    <t>Aluminium products (ICS code(s): 77.150.10)</t>
  </si>
  <si>
    <t>77.150.10 - Aluminium products; 77.150.10 - Aluminium products</t>
  </si>
  <si>
    <t>AFDC 15 (2541) DTZS, Ready-to-eat extruded snacks – Specification, First Edition</t>
  </si>
  <si>
    <t>This Tanzania Standard specifies requirements, methods of sampling and test of ready-to-eat extruded snacks intended for human consumption. Note: This Draft Tanzania Standard was also notified under TBT Committee.</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</si>
  <si>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(HS code(s): 190590); Sugar and sugar products (ICS code(s): 67.180.10); Ready-to-eat extruded snacks</t>
  </si>
  <si>
    <d:r xmlns:d="http://schemas.openxmlformats.org/spreadsheetml/2006/main">
      <d:rPr>
        <d:sz val="11"/>
        <d:rFont val="Calibri"/>
      </d:rPr>
      <d:t xml:space="preserve">https://members.wto.org/crnattachments/2025/SPS/TZA/25_00069_00_e.pdf</d:t>
    </d:r>
  </si>
  <si>
    <t>Notice of Administration Order of Saudi Food and Drug Authority Ref. No. 30604 dated 3 January 2025 entitled “Temporary ban on importation of poultry meat, eggs and their products originating from Calvados in France”</t>
  </si>
  <si>
    <t>Following the WOAH report dated 30 December 2025, a Highly Pathogenic Avian Influenza (HPAI) virus outbreak has occurred in Calvados in France. In compliance with the World Organisation for Animal Health (WOAH), Terrestrial Animal Health Code Chapter 10.4, it is deemed necessary for the Kingdom of Saudi Arabia to prevent the entry of the HPAI virus into the country. Therefore, the import of poultry meat, eggs and their products from Calvados in France to the Kingdom of Saudi Arabia is temporarily suspended (with the exception of processed poultry meat and egg products exposed to either heat or other treatments that ensure deactivation of the HPAI virus, as long as it conforms with the approved health requirements, and standards, with a health certificate issued by the official bodies in France prove that the product is free from the virus).</t>
  </si>
  <si>
    <t>0407 - Birds' eggs, in shell, fresh, preserved or cooked; 0207 - Meat and edible offal of fowls of the species Gallus domesticus, ducks, geese, turkeys and guinea fowls, fresh, chilled or frozen</t>
  </si>
  <si>
    <t>Animal health; Human health; Food safety; Animal diseases; Pest- or Disease- free Regions / Regionalization; Avian Influenza</t>
  </si>
  <si>
    <t>France</t>
  </si>
  <si>
    <t>Emergency notifications (SPS)</t>
  </si>
  <si>
    <d:r xmlns:d="http://schemas.openxmlformats.org/spreadsheetml/2006/main">
      <d:rPr>
        <d:sz val="11"/>
        <d:rFont val="Calibri"/>
      </d:rPr>
      <d:t xml:space="preserve">https://members.wto.org/crnattachments/2025/SPS/SAU/25_00099_00_e.pdf</d:t>
    </d:r>
  </si>
  <si>
    <t>Australia</t>
  </si>
  <si>
    <t>Updates to sanitary certificates for exports from Australia of processed foods and beverages, edible animal fats and oils, vitamins and supplements, animal feed and feed additives, shells, fertilisers, and human and animal remains</t>
  </si>
  <si>
    <t>Australia is replacing the current Export Documentation System (EXDOC) with a system called the Next Export Documentation System (NEXDOC). NEXDOC is designed to make Australia’s export documentation system more secure and responsive to changes in trade conditions.Australia’s generic export certificate, titled Declaration and Certificate to condition, which is used for a range of goods, will soon transition to the department’s NEXDOC system. This certification supports the export of processed foods and beverages, edible animal fats and oils, vitamins and supplements, animal feed and feed additives, shells, fertilisers, and human and animal remains where a model certificate is not used. In addition, Australian export documentation for the re-export of imported goods which have not been processed or repackaged in Australia will soon transition to the department’s NEXDOC system.These goods are the next commodities to transition after wool, skins and hides (November 2024), fish (September 2024), eggs (December 2023), honey (2022-2023), and dairy (May 2021).The planned changes do not affect the agreed conditions or attestations for market access, bilaterally agreed information about the consignment details, or the Department of Agriculture, Fisheries and Forestry (the department) regulatory controls over exports. However, there are minor changes to formatting and the location of some of the information on the certificate. In addition, the new certificates will have unique Quick Response (QR) codes. The QR codes provide consignment specific information which border officials can use to confirm authenticity of the certificate in real-time. To verify the QR code, border officials scan the code through the official's smart phone camera.The department proposes the new export certificates (Declaration and Certificate to condition) be issued for:Australian exports of processed foods and beverages, edible animal fats and oils, vitamins and supplements, animal feed and feed additives, shells, fertilisers and human and animal remains;Australian re-exports of imported goods which have not been re-processed or re-packaged in Australia.This will commence from 10 February 2025, with a staged rollout until 5 May 2025. There will be a transition period where both the old and new certificates will be in use to allow for transit time (air and sea freight) to the port of destination.  Australia is allowing a thirty days comment period.</t>
  </si>
  <si>
    <t>Products covered include:Australian exported processed foods and beverages, edible animal fats and oils, vitamins and supplements, animal feed and feed additives, shells, fertilisers, and human and animal remains;Re-exported imported goods which have not been re-processed or re-packaged in Australia.</t>
  </si>
  <si>
    <t>Human health; Animal health; Food safety; Animal diseases</t>
  </si>
  <si>
    <d:r xmlns:d="http://schemas.openxmlformats.org/spreadsheetml/2006/main">
      <d:rPr>
        <d:sz val="11"/>
        <d:rFont val="Calibri"/>
      </d:rPr>
      <d:t xml:space="preserve">https://www.agriculture.gov.au/biosecurity-trade/export/certification/nexdoc/transition</d:t>
    </d:r>
  </si>
  <si>
    <t>Draft Resolution 1284, 27 September 2024</t>
  </si>
  <si>
    <t>Draft Resolution 1284, 27 September 2024 - previously notified through  G/SPS/N/BRA/2336 - was adopted as Normative Instruction 340, 19 December 2024. The regulation proposes the inclusion of active ingredient C90 - COFFEA SP on the Monograph List of Active Ingredients for Pesticides, Household Cleaning Products and Wood Preservatives, published by Normative Instruction 103 on 19 October 2021 in the Brazilian Official Gazette (DOU - Diário Oficial da União). The final text is available only in Portuguese and can be downloaded at:</t>
  </si>
  <si>
    <t>Human health; Food safety; Maximum residue limits (MRLs); Adoption/publication/entry into force of reg.; Maximum residue limits (MRLs); Food safety; Human health</t>
  </si>
  <si>
    <d:r xmlns:d="http://schemas.openxmlformats.org/spreadsheetml/2006/main">
      <d:rPr>
        <d:sz val="11"/>
        <d:rFont val="Calibri"/>
      </d:rPr>
      <d:t xml:space="preserve">https://members.wto.org/crnattachments/2025/SPS/BRA/25_00082_00_x.pdf
https://anvisalegis.datalegis.net/action/UrlPublicasAction.php?acao=abrirAtoPublico&amp;num_ato=00000340&amp;sgl_tipo=INM&amp;sgl_orgao=DC/ANVISA/MS&amp;vlr_ano=2024&amp;seq_ato=000&amp;cod_modulo=134&amp;cod_menu=1696</d:t>
    </d:r>
  </si>
  <si>
    <t>Thailand</t>
  </si>
  <si>
    <t>The DLD order on temporary suspension of the importation or transit of live poultry and poultry carcasses from France to prevent the spread of Highly Pathogenic Avian Influenza</t>
  </si>
  <si>
    <t>The WOAH has reported an outbreak of Highly Pathogenic Avian Influenza (Subtype H5N1) in the area of France. Therefore, it is necessary for Thailand to prevent the entry of Highly Pathogenic Avian Influenza (Subtype H5N1) into the country. By the virtue of the Animal Epidemics Act B.E. 2558 (2015), the importation or transit of live poultry and poultry carcasses from Morbihan, Landes, and Allier in France has been temporarily suspended.</t>
  </si>
  <si>
    <t>Live poultry and poultry carcasses under Animal Epidemics Act B.E. 2558 (2015)</t>
  </si>
  <si>
    <t>0207 - Meat and edible offal of fowls of the species Gallus domesticus, ducks, geese, turkeys and guinea fowls, fresh, chilled or frozen; 0105 - Live poultry, "fowls of the species Gallus domesticus, ducks, geese, turkeys and guinea fowls"</t>
  </si>
  <si>
    <t>Animal health (SPS)</t>
  </si>
  <si>
    <t>Animal diseases; Animal health; Pest- or Disease- free Regions / Regionalization; Avian Influenza</t>
  </si>
  <si>
    <t>Notice of Administration Order of Saudi Food and Drug Authority Ref. No. 24880 dated 23 November 2024 entitled "Temporary ban on importation of poultry meat, eggs and their products originating from Landes in France"</t>
  </si>
  <si>
    <t xml:space="preserve">The Saudi Food and Drug Authority (SFDA) issued the Notice of Administration Order of Saudi Food and Drug Authority Ref. No. 24880 dated 23 November 2024 entitled "Temporary ban on importation of poultry meat, eggs and their products originating from Landes in France”. The Saudi Food and Drug Authority (SFDA) has subsequently issued the Notice Administrative Order No. 29393 dated 24 December 2024, lifting the temporary ban on the importation of poultry meat, eggs and their products originating from Landes in France, based on the WOAH report dated 17 December 2024, indicating that Landes in France is free of Highly Pathogenic Avian Influenza Virus (HPAI)._x000D_
</t>
  </si>
  <si>
    <t>0407 - Birds' eggs, in shell, fresh, preserved or cooked; 0207 - Meat and edible offal of fowls of the species Gallus domesticus, ducks, geese, turkeys and guinea fowls, fresh, chilled or frozen; 0207 - Meat and edible offal of fowls of the species Gallus domesticus, ducks, geese, turkeys and guinea fowls, fresh, chilled or frozen; 0407 - Birds' eggs, in shell, fresh, preserved or cooked</t>
  </si>
  <si>
    <t>Pest- or Disease- free Regions / Regionalization; Animal diseases; Food safety; Animal health; Human health; Avian Influenza; Withdrawal of the measure; Avian Influenza; Pest- or Disease- free Regions / Regionalization; Animal diseases; Food safety; Animal health; Human health</t>
  </si>
  <si>
    <d:r xmlns:d="http://schemas.openxmlformats.org/spreadsheetml/2006/main">
      <d:rPr>
        <d:sz val="11"/>
        <d:rFont val="Calibri"/>
      </d:rPr>
      <d:t xml:space="preserve">https://members.wto.org/crnattachments/2025/SPS/SAU/25_00084_00_x.pdf</d:t>
    </d:r>
  </si>
  <si>
    <t>Regulations Amending Certain Regulations Concerning Food Additives and Compositional Standards, Microbiological Criteria and Methods of Analysis for Food</t>
  </si>
  <si>
    <t>The proposed regulations notified in G/SPS/N/CAN/1537 (dated 8 November 2023) were adopted on 29 November 2024, and published in the Canada Gazette, Part II on 18 December 2024.The regulations amend Part B of the Food and Drug Regulations (FDR), along with targeted amendments to Parts A and D of the FDR. The amendments introduce modernized frameworks for the setting and updating of regulations for food compositional standards, microbiological criteria, methods of analysis, and food additives. Consequential amendments are also made to certain regulations under the Cannabis Act, the Excise Act (2001), the Pest Control Products Act, the Safe Food for Canadians Act, and the Feeds Act</t>
  </si>
  <si>
    <t>Food products in general (ICS: 67.040)</t>
  </si>
  <si>
    <t>67.040 - Food products in general; 67.040 - Food products in general</t>
  </si>
  <si>
    <t>Human health; Adoption/publication/entry into force of reg.; Food safety; Food additives; Food additives; Food safety; Human health</t>
  </si>
  <si>
    <t>Chile</t>
  </si>
  <si>
    <t>Amendment to Resolution No. 9.372/2019, which amends and approves the coordinated and consolidated text of Resolution No. 1.408 of 2001, establishing phytosanitary import requirements for fresh Rubus spp. berries from the United States of America, and amendment to Resolution No. 1.423 of 2010, establishing phytosanitary requirements for imports of plants that are host to Epiphyas postvittana from the states of California and Hawaii in the United States of America Chile hereby advises that Exempt Resolution No. 8.971/2024, amending Resolution No. 9.372/2019, which amends and approves the coordinated and consolidated text of Resolution No. 1.408 of 2001, establishing phytosanitary import requirements for fresh Rubus spp. berries from the United States of America, and amending Resolution No. 1.423 of 2010, establishing phytosanitary requirements for imports of plants that are host to Epiphyas postvittana from the states of California and Hawaii in the United States of America, entered into force on 27 December 2024. https://members.wto.org/crnattachments/2025/SPS/CHL/25_00033_00_s.pdf</t>
  </si>
  <si>
    <t>Fresh Rubus spp. berries</t>
  </si>
  <si>
    <t>081020 - Fresh raspberries, blackberries, mulberries and loganberries; 081020 - Fresh raspberries, blackberries, mulberries and loganberries</t>
  </si>
  <si>
    <t>Adoption/publication/entry into force of reg.; Plant health; Pests; Pest- or Disease- free Regions / Regionalization; Pest- or Disease- free Regions / Regionalization; Pests; Plant health</t>
  </si>
  <si>
    <d:r xmlns:d="http://schemas.openxmlformats.org/spreadsheetml/2006/main">
      <d:rPr>
        <d:sz val="11"/>
        <d:rFont val="Calibri"/>
      </d:rPr>
      <d:t xml:space="preserve">https://members.wto.org/crnattachments/2025/SPS/CHL/25_00033_00_s.pdf</d:t>
    </d:r>
  </si>
  <si>
    <t>Kazakhstan</t>
  </si>
  <si>
    <t>Letter of the Committee for Veterinary Control and Surveillance of the Ministry of Agriculture of Kazakhstan on the introduction of temporary restrictions on the importation to the territory of Kazakhstan from the Saskatchewan Province of Canada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</si>
  <si>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(WOAH), an outbreak of avian influenza was registered in the Saskatchewan Province of Canada. In this regard, since 13 November 2024, temporary restrictions have been introduced on the importation to the territory of Kazakhstan from the territory of the Saskatchewan Province of Canada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treatment (feathered game), used equipment for keeping, slaughtering and cutting birds, as well as on the transit of live poultry from the above-mentioned territory through the territory of Kazakhstan. </t>
  </si>
  <si>
    <t>Live poultry and hatching eggs, down and feathers, poultry meat and all types of poultry products, feed and feed additives for birds, hunting trophies, used equipment for keeping, slaughtering and cutting birds</t>
  </si>
  <si>
    <t>01 - LIVE ANIMALS; 02 - MEAT AND EDIBLE MEAT OFFAL; 04 - DAIRY PRODUCE; BIRDS' EGGS; NATURAL HONEY; EDIBLE PRODUCTS OF ANIMAL ORIGIN, NOT ELSEWHERE SPECIFIED OR INCLUDED; 23 - RESIDUES AND WASTE FROM THE FOOD INDUSTRIES; PREPARED ANIMAL FODDER; 67 - PREPARED FEATHERS AND DOWN AND ARTICLES MADE OF FEATHERS OR OF DOWN; ARTIFICIAL FLOWERS; ARTICLES OF HUMAN HAIR; 84 - NUCLEAR REACTORS, BOILERS, MACHINERY AND MECHANICAL APPLIANCES; PARTS THEREOF; 97 - WORKS OF ART, COLLECTORS' PIECES AND ANTIQUES</t>
  </si>
  <si>
    <t>Food safety (SPS); Animal health (SPS); Protect humans from animal/plant pest or disease (SPS)</t>
  </si>
  <si>
    <t>Human health; Animal health; Food safety; Animal diseases; Avian Influenza; Pest- or Disease- free Regions / Regionalization</t>
  </si>
  <si>
    <t>Saskatchewan Province of Canada</t>
  </si>
  <si>
    <t>Costa Rica</t>
  </si>
  <si>
    <t>Central American Technical Regulation (RTCA) No. 23.01.78:00: Electrical Products. Inverter split-type, free air discharge, non-ducted air conditioners with variable refrigerant flow. Energy efficiency specifications.</t>
  </si>
  <si>
    <t>The process to establish the equivalence between AHRI Standard 210/240-2017 and Central American Technical Regulation (RTCA) No. 23.01.78:20 is under way. The following certification numbers are associated with the validity of this equivalence: AHRI Certified Reference Number: AHRI 207705409 __________</t>
  </si>
  <si>
    <t>Air conditioners</t>
  </si>
  <si>
    <t>8415 - Air conditioning machines comprising a motor-driven fan and elements for changing the temperature and humidity, incl. those machines in which the humidity cannot be separately regulated; parts thereof; 8415 - Air conditioning machines comprising a motor-driven fan and elements for changing the temperature and humidity, incl. those machines in which the humidity cannot be separately regulated; parts thereof</t>
  </si>
  <si>
    <t>23.120 - Ventilators. Fans. Air-conditioners; 23.120 - Ventilators. Fans. Air-conditioners</t>
  </si>
  <si>
    <t>Consumer information, labelling (TBT); Prevention of deceptive practices and consumer protection (TBT)</t>
  </si>
  <si>
    <t>The DLD order on temporary suspension of importation or transit of live poultry and poultry carcasses from the Netherlands to prevent the spread of Highly Pathogenic Avian Influenza (Subtype H5N1)</t>
  </si>
  <si>
    <t>The WOAH has reported an outbreak of Highly Pathogenic Avian Influenza (Subtype H5N1) in the area of the Netherlands. Therefore, it is necessary for Thailand to prevent the entry of Highly Pathogenic Avian Influenza (Subtype H5N1) into the country. By the virtue of the Animal Epidemics Act B.E. 2558 (2015), the importation or transit of live poultry and poultry carcasses from the Netherlandshas been temporarily suspended.</t>
  </si>
  <si>
    <t>Live poultry and poultry carcasses under Animal Epidemics Act B.E. 2558 (2015)</t>
  </si>
  <si>
    <t>Animal health; Animal diseases; Avian Influenza; Pest- or Disease- free Regions / Regionalization</t>
  </si>
  <si>
    <t>Netherlands</t>
  </si>
  <si>
    <t>Proyecto de Resolución para regular la importación de frutos de Zarzamora (Rubus vestitus) para consumo fresco originarios de Perú (Draft resolution governing the importation, for consumption, of fresh blackberries (Rubus vestitus) originating in Peru)</t>
  </si>
  <si>
    <t>The notified draft Resolution establishes phytosanitary measures for the importation, for consumption, of fresh blackberries (Rubus vestitus) originating in Peru.</t>
  </si>
  <si>
    <t>Fresh blackberries (HS code: 081020)</t>
  </si>
  <si>
    <t>081020 - Fresh raspberries, blackberries, mulberries and loganberries</t>
  </si>
  <si>
    <t>Plant protection (SPS); Protect territory from other damage from pests (SPS)</t>
  </si>
  <si>
    <t>Plant health; Territory protection</t>
  </si>
  <si>
    <d:r xmlns:d="http://schemas.openxmlformats.org/spreadsheetml/2006/main">
      <d:rPr>
        <d:sz val="11"/>
        <d:rFont val="Calibri"/>
      </d:rPr>
      <d:t xml:space="preserve">https://members.wto.org/crnattachments/2025/SPS/CRI/25_00032_00_s.pdf</d:t>
    </d:r>
  </si>
  <si>
    <t>Proyecto de Resolución para regular la importación de hortalizas de espárragos (Asparagus officinalis) para consumo fresco originarios del Estado de California, Estados Unidos (Draft Resolution governing the importation, for consumption, of fresh asparagus (Asparagus officinalis) originating in the state of California, United States)</t>
  </si>
  <si>
    <t>The notified draft Resolution establishes phytosanitary measures for the importation, for consumption, of fresh asparagus (Asparagus officinalis) originating in the state of California, United States of America, because, following the identification in the technical study performed of two new pests not present in the country, it was decided to update the phytosanitary requirements for the importation of this product.</t>
  </si>
  <si>
    <t>Fresh asparagus (HS code: 070920)</t>
  </si>
  <si>
    <t>070920 - Fresh or chilled asparagus</t>
  </si>
  <si>
    <t>Plant health; Territory protection; Pest- or Disease- free Regions / Regionalization; Pests</t>
  </si>
  <si>
    <t>State of California, United States of America</t>
  </si>
  <si>
    <d:r xmlns:d="http://schemas.openxmlformats.org/spreadsheetml/2006/main">
      <d:rPr>
        <d:sz val="11"/>
        <d:rFont val="Calibri"/>
      </d:rPr>
      <d:t xml:space="preserve">https://members.wto.org/crnattachments/2025/SPS/CRI/25_00031_00_s.pdf</d:t>
    </d:r>
  </si>
  <si>
    <t>United States of America</t>
  </si>
  <si>
    <t>Federal Motor Vehicle Safety Standards; FMVSS No. 305a Electric-Powered Vehicles: Electric Powertrain Integrity Global Technical Regulation No. 20, Incorporation by Reference</t>
  </si>
  <si>
    <t xml:space="preserve">Consistent with a Global Technical Regulation on electric 
vehicle safety, the National Highway Traffic Safety Administration (NHTSA) is establishing Federal Motor Vehicle Safety 
Standard (FMVSS) No. 305a to replace FMVSS No. 305, "Electric-powered 
vehicles: Electrolyte spillage and electrical shock protection.'' Among 
other improvements, FMVSS No. 305a applies to light and heavy vehicles 
and includes performance requirements for the propulsion battery. NHTSA 
is also establishing a new regulation, part 561, "Documentation for 
Electric-powered Vehicles,'' that requires manufacturers to compile 
risk mitigation documentation and to submit standardized emergency 
response information to assist first and second responders handling 
electric vehicles.&gt;Effective date: This final rule is effective 18 February 2025.&gt;IBR date: The incorporation by reference of certain publications 
listed in the rule is approved by the Director of the Federal Register 
as of 18 February 2025.&gt;Compliance dates: The compliance date is 22 December 2025, for the 
emergency response documentation requirements. For all other 
requirements, the compliance date is 1 September 2027, for vehicles 
with a gross vehicle weight rating of 4,536 kilograms (kg) or less and 1 September 2028, for vehicles with a gross vehicle weight rating over 
4,536 kg. Small-volume manufacturers, final-stage manufacturers, and 
alterers are provided an additional year to comply with the 
requirements beyond the dates identified above. Optional early 
compliance is permitted.&gt;Petitions for Reconsideration: Petitions for reconsideration of 
this final rule must be received no later than 3 February 2025.89 Federal Register (FR) 104318, 20 December 2024; Title 49 Code of Federal Regulations (CFR) Parts 561 and 571_x000D_
https://www.govinfo.gov/content/pkg/FR-2024-12-20/html/2024-28707.htm_x000D_
https://www.govinfo.gov/content/pkg/FR-2024-12-20/pdf/2024-28707.pdf_x000D_
This final rule is identified by Docket Number NHTSA-2024-0091. The Docket Folder is available from Regulations.gov at https://www.regulations.gov/docket/NHTSA-2024-0091/document and provides access to primary documents. Documents are also accessible from Regulations.gov by searching the Docket Number. WTO Members and their stakeholders are asked to submit petitions for reconsideration to the USA TBT Enquiry Point by or before 4pmEastern Time on 3 February 2025. Petitions for reconsideration received by the USA TBT Enquiry Point from WTO Members and their stakeholders will be shared with NHTSA.Previous actions notified under the symbol G/TBT/N/USA/2113 are identified by Docket Number NHTSA-2024-0012. The Docket Folder is available from Regulations.gov at https://www.regulations.gov/docket/NHTSA-2024-0012/document and provides access to primary and supporting documents as well as comments received. Documents are also accessible from Regulations.gov by searching the Docket Number.</t>
  </si>
  <si>
    <t>Electric powered vehicles; Quality (ICS code(s): 03.120); Protection against electric shock. Live working (ICS code(s): 13.260); Electrical and electronic testing (ICS code(s): 19.080); Electric road vehicles (ICS code(s): 43.120)</t>
  </si>
  <si>
    <t xml:space="preserve">03.120 - Quality; 13.260 - Protection against electric shock.  Live working; 19.080 - Electrical and electronic testing; 43.120 - Electric road vehicles; 03.120 - Quality; 13.260 - Protection against electric shock. Live working; 19.080 - Electrical and electronic testing; 43.120 - Electric road vehicles</t>
  </si>
  <si>
    <t>Prevention of deceptive practices and consumer protection (TBT); Protection of the environment (TBT); Quality requirements (TBT)</t>
  </si>
  <si>
    <d:r xmlns:d="http://schemas.openxmlformats.org/spreadsheetml/2006/main">
      <d:rPr>
        <d:sz val="11"/>
        <d:rFont val="Calibri"/>
      </d:rPr>
      <d:t xml:space="preserve">https://members.wto.org/crnattachments/2025/TBT/USA/final_measure/25_00070_00_e.pdf</d:t>
    </d:r>
  </si>
  <si>
    <t>Costa Rican Technical Regulation No. 503: 2021. Electrical Products. Cookers, hobs, cooktops, induction hobs and electric ovens for domestic use. Energy efficiency requirements.</t>
  </si>
  <si>
    <t xml:space="preserve">The process to establish the equivalence between CSA-C358-03 "Energy Consumption Test Methods for Household Electric Ranges" and Decree No. 43524/Costa Rican Technical Regulation (RTCR) No. 503:2021 is under way. The following models are associated with this equivalence. The following CSA Group models, classes or certification numbers for certified equipment are associated with the validity of this equivalence: No. Model/Class Category CSA Group Certification No.  1 NE63F6311SR ELECTRIC RANGE 80065749 2 NE63F6511SR ELECTRIC RANGE 80065749 3 NE63F6711SR ELECTRIC RANGE 80065749  __________</t>
  </si>
  <si>
    <t>Domestic electrical appliances in general (ICS code(s): 97.030)</t>
  </si>
  <si>
    <t>97.030 - Domestic electrical appliances in general; 97.030 - Domestic electrical appliances in general</t>
  </si>
  <si>
    <t>Prevention of deceptive practices and consumer protection (TBT); Protection of the environment (TBT)</t>
  </si>
  <si>
    <t>Monterey Mushrooms, LLC; Filing of Food Additive Petition;  Notification of Petition</t>
  </si>
  <si>
    <t>The Food and Drug Administration (FDA or we) is announcing that we have filed a petition, submitted by Monterey Mushrooms, LLC, proposing that the food additive regulations for vitamin D2 mushroom powder be amended to provide for an additional method for producing the additive.The food additive petition was filed on 11 December 2024.</t>
  </si>
  <si>
    <t>Mushrooms and truffles, prepared or preserved otherwise than by vinegar or acetic acid (HS code(s): 2003); Food technology (ICS code(s): 67)</t>
  </si>
  <si>
    <t>2003 - Mushrooms and truffles, prepared or preserved otherwise than by vinegar or acetic acid</t>
  </si>
  <si>
    <t>Human health; Food safety</t>
  </si>
  <si>
    <d:r xmlns:d="http://schemas.openxmlformats.org/spreadsheetml/2006/main">
      <d:rPr>
        <d:sz val="11"/>
        <d:rFont val="Calibri"/>
      </d:rPr>
      <d:t xml:space="preserve">https://members.wto.org/crnattachments/2025/SPS/USA/25_00040_00_e.pdf
https://www.federalregister.gov/d/2024-30362</d:t>
    </d:r>
  </si>
  <si>
    <t>European Union</t>
  </si>
  <si>
    <t>Draft Commission Delegated Directive amending Directive 2011/65/EU of the European Parliament and of the Council as regards an exemption for lead in high melting temperature solders</t>
  </si>
  <si>
    <t>This draft Commission Delegated Directive concerns applications for a specific and temporary exemption from the RoHS 2 (Directive 2011/65/EU) substance restrictions. The criteria for granting renewal are met and it is proposed to renew the exemption under the Annex III. </t>
  </si>
  <si>
    <t>Electrical and electronic equipment (ICS – 31.020)</t>
  </si>
  <si>
    <t>31.020 - Electronic components in general</t>
  </si>
  <si>
    <d:r xmlns:d="http://schemas.openxmlformats.org/spreadsheetml/2006/main">
      <d:rPr>
        <d:sz val="11"/>
        <d:rFont val="Calibri"/>
      </d:rPr>
      <d:t xml:space="preserve">https://members.wto.org/crnattachments/2024/TBT/EEC/24_08527_00_e.pdf
https://members.wto.org/crnattachments/2024/TBT/EEC/24_08527_01_e.pdf</d:t>
    </d:r>
  </si>
  <si>
    <t>Freight Car Safety Standards Implementing the Infrastructure Investment and Jobs Act</t>
  </si>
  <si>
    <t xml:space="preserve">The Federal Railroad Administration (FRA) is amending the Freight Car Safety Standards (FCSS) to 
implement section 22425 of the Infrastructure Investment and Jobs Act 
(Act). The Act places certain restrictions on newly built freight cars 
placed into service in the United States (U.S.) including limiting 
content that originates from a country of concern (COC) or is sourced 
from a state-owned enterprise (SOE) and prohibiting sensitive 
technology that originates from a COC or is sourced from a SOE. The Act 
mandates that FRA issue a regulation to monitor and enforce industry's 
compliance with the Act's standards.&gt;The Final Rule is effective 21 January 2025.89 Federal Register (FR) 103677, 19 December 2023; Title 49 Code of Federal Regulations (CFR) Part 215_x000D_
https://www.govinfo.gov/content/pkg/FR-2024-12-19/html/2024-30030.htm_x000D_
https://www.govinfo.gov/content/pkg/FR-2024-12-19/pdf/2024-30030.pdf_x000D_
This final rule and the notice of proposed rulemaking notified as G/TBT/N/USA/2076 are identified by Docket Number FRA-2023-0021. The Docket Folder is available from Regulations.gov at https://www.regulations.gov/docket/FRA-2023-0021/document and provides access to primary and supporting documents as well as comments received. Documents are also accessible from Regulations.gov by searching the Docket Number. </t>
  </si>
  <si>
    <t>Freight car safety; Quality (ICS code(s): 03.120); Railway engineering in general (ICS code(s): 45.020); Railway rolling stock (ICS code(s): 45.060)</t>
  </si>
  <si>
    <t>03.120 - Quality; 45.020 - Railway engineering in general; 45.060 - Railway rolling stock; 03.120 - Quality; 45.020 - Railway engineering in general; 45.060 - Railway rolling stock</t>
  </si>
  <si>
    <t>National security requirements (TBT); Prevention of deceptive practices and consumer protection (TBT); Quality requirements (TBT); Cost saving and productivity enhancement (TBT)</t>
  </si>
  <si>
    <d:r xmlns:d="http://schemas.openxmlformats.org/spreadsheetml/2006/main">
      <d:rPr>
        <d:sz val="11"/>
        <d:rFont val="Calibri"/>
      </d:rPr>
      <d:t xml:space="preserve">https://members.wto.org/crnattachments/2025/TBT/USA/final_measure/25_00061_00_e.pdf</d:t>
    </d:r>
  </si>
  <si>
    <t>Regulations Amending Certain Regulations Made Under the Food and Drugs Act (Agile Licensing)</t>
  </si>
  <si>
    <t>Health Canada has introduced new targeted provisions and regulatory amendments to the Food and Drug Regulations and Medical Devices Regulations that deliver on the Department’s modernization commitments and leverage long-standing policies and practices. The amendments take into account recent experience with regulatory agilities successfully piloted through the COVID-19 interim orders and their transition to regulations. These regulatory changes include distinct components that:Expand terms and conditions to apply to all drugs for improved post-market oversight;Broaden the scope of use of terms and conditions for Class II, III, and IV medical device licences; Expand the flexibilities available for COVID-19 drugs to other public health emergency drugs, including the option of a rolling review; Require Risk Management Plans for certain human drugs to better manage risks and uncertainties; Remove industry irritants regarding drug labelling and manufacturer’s standards; Modernize requirements for biologics and remove outdated requirements; Clarify the Minister’s authority to consider additional information in examining a drug submission; Clarify expectations that a drug be fabricated, packaged/labelled, tested and stored including during transportation, in a manner that assures its quality; and Require manufacturers to submit clinical trial data broken down by population sub-groups (disaggregated data) for certain drug submissions, as submitted to the U.S. Food and Drug Administration or the European Medicines Agency.   Amendments are also required to the Fees in Respect of Drugs and Medical Devices Order for drugs and medical devices in order to ensure alignment with the amendments to the Food and Drugs Regulations under Agile Licensing. They afford the same measures to public health emergency drugs that were afforded to COVID-19 drugs and continue to enable the Department to remit fees for certain COVID-19 drug submissions filed under the Food and Drugs Regulations</t>
  </si>
  <si>
    <t>Drugs and medical devices (ICS codes: 11.120, 11.040) </t>
  </si>
  <si>
    <t>11.040 - Medical equipment; 11.040 - Medical equipment; 11.120 - Pharmaceutics; 11.120 - Pharmaceutics</t>
  </si>
  <si>
    <t>Human health; Human health; E09. COVID-19 TBT</t>
  </si>
  <si>
    <d:r xmlns:d="http://schemas.openxmlformats.org/spreadsheetml/2006/main">
      <d:rPr>
        <d:sz val="11"/>
        <d:rFont val="Calibri"/>
      </d:rPr>
      <d:t xml:space="preserve">https://canadagazette.gc.ca/rp-pr/p2/2024/2024-12-18/html/sor-dors238-eng.html (English)
https://canadagazette.gc.ca/rp-pr/p2/2024/2024-12-18/html/sor-dors238-fra.html (French)
https://canadagazette.gc.ca/rp-pr/p2/2024/2024-12-18/html/sor-dors247-eng.html (English)
https://canadagazette.gc.ca/rp-pr/p2/2024/2024-12-18/html/sor-dors247-fra.html (French)</d:t>
    </d:r>
  </si>
  <si>
    <t>Modifica Resolución Exenta SAG No 1.412/2001 que establece requisitos de ingreso de manzanas (Malus spp.) y peras (Pyrus spp.) frescas desde el condado de Umatilla en el Estado de Oregon, Estados Unidos de Norteamérica (Amendment to SAG Exempt Resolution No. 91/2022 establishing import requirements for fresh apples (Malus spp.) and pears (Pyrus spp.) from Umatilla County, State of Oregon, United States of America)</t>
  </si>
  <si>
    <t>The notified measure amends Resolution No. 1.412 of 2001 as follows: • It updates the regulations establishing phytosanitary requirements for the importation into Chile of fresh apples (Malus spp.) and pears (Pyrus spp.) from Umatilla County, State of Oregon, United States of America, as the pest Epiphyas postvittana is present in the United States. Further details can be found in the document attached to this notification.</t>
  </si>
  <si>
    <t>Apples (Malus spp.) and pears (Pyrus spp.)</t>
  </si>
  <si>
    <t>080830 - Fresh pears; 080810 - Fresh apples</t>
  </si>
  <si>
    <t>Plant health; Pest- or Disease- free Regions / Regionalization; Pests</t>
  </si>
  <si>
    <d:r xmlns:d="http://schemas.openxmlformats.org/spreadsheetml/2006/main">
      <d:rPr>
        <d:sz val="11"/>
        <d:rFont val="Calibri"/>
      </d:rPr>
      <d:t xml:space="preserve">https://members.wto.org/crnattachments/2025/SPS/CHL/25_00049_00_s.pdf
https://members.wto.org/crnattachments/2025/SPS/CHL/25_00049_01_s.pdf</d:t>
    </d:r>
  </si>
  <si>
    <t>Letter of the Committee for Veterinary Control and Surveillance of the Ministry of Agriculture of Kazakhstan on the introduction of temporary restrictions on the importation to the territory of Kazakhstan from the Nouvelle-Aquitaine and Auvergne-Rhône-Alpes regions of France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</si>
  <si>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(WOAH), an outbreak of highly pathogenic avian influenza was registered in the Nouvelle-Aquitaine and Auvergne-Rhône-Alpes regions of France. In this regard, since 19 November 2024, temporary restrictions have been introduced on the importation to the territory of Kazakhstan from the territory of the Nouvelle-Aquitaine and Auvergne-Rhône-Alpes regions of France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(game birds), used equipment for keeping, slaughtering and cutting birds, as well as for transit from the above territory through the territory of Kazakhstan of live birds.</t>
  </si>
  <si>
    <t>Human health; Animal health; Food safety; Animal diseases; Pest- or Disease- free Regions / Regionalization; Avian Influenza</t>
  </si>
  <si>
    <t>The Nouvelle-Aquitaine and Auvergne-Rhône-Alpes regions of France</t>
  </si>
  <si>
    <t>Letter of the Committee for Veterinary Control and Surveillance of the Ministry of Agriculture of Kazakhstan on the introduction of temporary restrictions on the importation to the territory of Kazakhstan from Friuli-Venezia Giulia and Emilia Romagna regions of Italy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</si>
  <si>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(WOAH), an outbreak of avian influenza was registered in Friuli-Venezia Giulia and Emilia Romagna regions of Italy. In this regard, since 13 November 2024, temporary restrictions have been introduced on the importation to the territory of Kazakhstan from the territory of Friuli-Venezia Giulia and Emilia Romagna regions of Italy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treatment (feathered game), used equipment for keeping, slaughtering and cutting birds, as well as on the transit of live poultry from the above-mentioned territory through the territory of Kazakhstan. </t>
  </si>
  <si>
    <t>Animal diseases; Food safety; Animal health; Human health; Avian Influenza; Pest- or Disease- free Regions / Regionalization</t>
  </si>
  <si>
    <t>Friuli-Venezia Giulia and Emilia Romagna regions of Italy</t>
  </si>
  <si>
    <t>Regulations Amending the Motor Vehicle Safety Regulations (School Buses): SOR/2024-239</t>
  </si>
  <si>
    <t>The amendment to the Motor Vehicle Safety Regulations (MVSR) require school buses to be equipped with an exterior perimeter visibility system consisting of a series of cameras that provide visibility around the exterior of the school bus and a monitor to display the views to the driver; require a label indicating that the school bus may be equipped with an image recording system (infraction camera); and, set minimum requirements that will apply to image recording systems (infraction cameras), if voluntarily installed on new or imported school buses by the school bus manufacturer.In addition, the amendment repeals sections 15.1 and 17 of the MVSR, which pertain to naming conventions for Test Methods and notices published in the Canada Gazette for updates to Technical Standards Documents (TSD) respectively, to better align the MVSR with amendments made to the Motor Vehicle Safety Act (MVSA) in 2014.</t>
  </si>
  <si>
    <t>Motor vehicles; Road vehicles in general (ICS 43.020), Commercial vehicles (ICS 43.080)</t>
  </si>
  <si>
    <t>43.020 - Road vehicles in general; 43.020 - Road vehicles in general; 43.080 - Commercial vehicles; 43.080 - Commercial vehicles</t>
  </si>
  <si>
    <d:r xmlns:d="http://schemas.openxmlformats.org/spreadsheetml/2006/main">
      <d:rPr>
        <d:sz val="11"/>
        <d:rFont val="Calibri"/>
      </d:rPr>
      <d:t xml:space="preserve">https://canadagazette.gc.ca/rp-pr/p2/2024/2024-12-18/html/sor-dors239-eng.html (English)
https://canadagazette.gc.ca/rp-pr/p2/2024/2024-12-18/html/sor-dors239-fra.html (French)
</d:t>
    </d:r>
  </si>
  <si>
    <t>Draft Commission Delegated Directive amending Directive 2011/65/EU of the European Parliament and of the Council as regards an exemption for lead as an alloying element in steel, aluminium and copper</t>
  </si>
  <si>
    <t>This draft Commission Delegated Directive concerns applications for a specific and temporary exemption from the RoHS 2 (Directive 2011/65/EU) substance restrictions. The criteria for granting renewal are mostly met and it is proposed to renew the exemptions under the Annex III. </t>
  </si>
  <si>
    <d:r xmlns:d="http://schemas.openxmlformats.org/spreadsheetml/2006/main">
      <d:rPr>
        <d:sz val="11"/>
        <d:rFont val="Calibri"/>
      </d:rPr>
      <d:t xml:space="preserve">https://members.wto.org/crnattachments/2024/TBT/EEC/24_08531_00_e.pdf
https://members.wto.org/crnattachments/2024/TBT/EEC/24_08531_01_e.pdf</d:t>
    </d:r>
  </si>
  <si>
    <t>Draft Commission Delegated Directive amending Directive 2011/65/EU of the European Parliament and of the Council as regards an exemption for lead in glass or ceramic components</t>
  </si>
  <si>
    <t>This draft Commission Delegated Directive concerns applications for a specific and temporary exemption from the RoHS 2 (Directive 2011/65/EU) substance restrictions. The criteria for granting renewal are met and it is proposed to renew the exemptions under the Annex III. </t>
  </si>
  <si>
    <d:r xmlns:d="http://schemas.openxmlformats.org/spreadsheetml/2006/main">
      <d:rPr>
        <d:sz val="11"/>
        <d:rFont val="Calibri"/>
      </d:rPr>
      <d:t xml:space="preserve">https://members.wto.org/crnattachments/2024/TBT/EEC/24_08528_00_e.pdf
https://members.wto.org/crnattachments/2024/TBT/EEC/24_08528_01_e.pdf</d:t>
    </d:r>
  </si>
  <si>
    <t>The proposed regulations notified in G/TBT/N/CAN/708 (dated November 8, 2023) were adopted on November 29, 2024 and published in the Canada Gazette, Part II on December 18, 2024. The regulations amend Part B of the Food and Drug Regulations (FDR), along with targeted amendments to Parts A and D of the FDR. The amendments introduce modernized frameworks for the setting and updating of regulations for food compositional standards, microbiological criteria,  methods of analysis, and food additives. Consequential amendments are also made to certain regulations under the Cannabis Act, the Excise Act (2001), the Pest Control Products Act, the Safe Food for Canadians Act, and the Feeds Act</t>
  </si>
  <si>
    <t>67.040 - Food products in general; 67.040 - Food products in general; 67.220.20 - Food additives; 67.220.20 - Food additives</t>
  </si>
  <si>
    <d:r xmlns:d="http://schemas.openxmlformats.org/spreadsheetml/2006/main">
      <d:rPr>
        <d:sz val="11"/>
        <d:rFont val="Calibri"/>
      </d:rPr>
      <d:t xml:space="preserve">https://www.gazette.gc.ca/rp-pr/p2/2024/2024-12-18/html/sor-dors244-eng.html (English)
https://www.gazette.gc.ca/rp-pr/p2/2024/2024-12-18/html/sor-dors244-fra.html (French)
</d:t>
    </d:r>
  </si>
  <si>
    <t>Letter of the Committee for Veterinary Control and Surveillance of the Ministry of Agriculture of Kazakhstan on the introduction of temporary restrictions on the importation to the territory of Kazakhstan from the province of England of the United Kingdom of Great Britain and Northern Ireland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</si>
  <si>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(WAHIS), an outbreak of avian influenza was registered in the province of England of the United Kingdom of Great Britain and Northern Ireland. In this regard, since 13 November 2024, temporary restrictions have been introduced on the importation to the territory of Kazakhstan from the territory of the province of England of the United Kingdom of Great Britain and Northern Ireland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treatment (feathered game), used equipment for keeping, slaughtering and cutting birds, as well as on the transit of live poultry from the above-mentioned territory through the territory of the Republic of Kazakhstan. With regard to the above-mentioned goods shipped before 13 November 2024, the decision to let them pass is made in the usual manner.</t>
  </si>
  <si>
    <t>01 - LIVE ANIMALS; 02 - MEAT AND EDIBLE MEAT OFFAL; 04 - DAIRY PRODUCE; BIRDS' EGGS; NATURAL HONEY; EDIBLE PRODUCTS OF ANIMAL ORIGIN, NOT ELSEWHERE SPECIFIED OR INCLUDED; 23 - RESIDUES AND WASTE FROM THE FOOD INDUSTRIES; PREPARED ANIMAL FODDER; 67 - PREPARED FEATHERS AND DOWN AND ARTICLES MADE OF FEATHERS OR OF DOWN; ARTIFICIAL FLOWERS; ARTICLES OF HUMAN HAIR; 84 - NUCLEAR REACTORS, BOILERS, MACHINERY AND MECHANICAL APPLIANCES; PARTS THEREOF; 93 - ARMS AND AMMUNITION; PARTS AND ACCESSORIES THEREOF</t>
  </si>
  <si>
    <t>Province of England of the United Kingdom of Great Britain and Northern Ireland</t>
  </si>
  <si>
    <t>Letter of the Committee for Veterinary Control and Surveillance of the Ministry of Agriculture of Kazakhstan on the introduction of temporary restrictions on the importation to the territory of Kazakhstan from Japan of cattle and other animals susceptible to lumpy skin disease, as well as genetic material obtained from them, as well as susceptible species of animals, unprocessed raw hides obtained from the slaughter of cattle and other susceptible animals, equipment for the maintenance and transportation of cattle and other susceptible animals, used live animals, as well as on the transit from the above-mentioned territory through the territory of Kazakhstan of cattle and other animals susceptible to lumpy skin disease.</t>
  </si>
  <si>
    <t>The Committee for Veterinary Control and Surveillance of the Ministry of Agriculture of the Republic of Kazakhstan reports that on the basis of the official notification of the World Organisation for Animal Health (WOAH), an outbreak of to lumpy skin disease was registered in Japan. In this regard, since 11 November 2024, temporary restrictions have been introduced on the importation to the territory of Kazakhstan from Japan of cattle and other animals susceptible to lumpy skin disease, as well as genetic material obtained from them, products obtained from cattle, as well as susceptible animal species, without proper processing to ensure the destruction of the lumpy skin disease virus, unprocessed raw leather obtained from the slaughter of cattle and other susceptible animals, equipment for the maintenance and transportation of cattle and other susceptible animals, used live animals, as well as transit from the above-mentioned territories through the territory of Kazakhstan of cattle and other animals susceptible to lumpy skin disease. </t>
  </si>
  <si>
    <t>Cattle and other animals; their genetic material; products obtained from cattle, unprocessed raw hides, equipment for keeping and transporting cattle</t>
  </si>
  <si>
    <t>01 - LIVE ANIMALS; 02 - MEAT AND EDIBLE MEAT OFFAL; 05 - PRODUCTS OF ANIMAL ORIGIN, NOT ELSEWHERE SPECIFIED OR INCLUDED; 41 - RAW HIDES AND SKINS (OTHER THAN FURSKINS) AND LEATHER; 84 - NUCLEAR REACTORS, BOILERS, MACHINERY AND MECHANICAL APPLIANCES; PARTS THEREOF</t>
  </si>
  <si>
    <t>Japan</t>
  </si>
  <si>
    <t>Draft National technical regulation on the limits of mycotoxin contamination in food</t>
  </si>
  <si>
    <t>The draft QCVN 8-1:2025/BYT replaces QCVN 8-1:2011/BYT National technical regulation on limits of mycotoxin contamination in food. This draft National technical regulation stipulates technical requirements (Maximum permitted limits on the limits of mycotoxin contamination in food), testing methods, sampling; management requirements; and responsibilities of organizations and individuals producing and trading food. The reference basis for reviewing and amending the regulations on mycotoxin limits in the draft QCVN is based on the provisions of the Codex General Standard for Contaminants and Toxins in Food (CODEX STAN 193-1995) updated in 2023 and EC Standard 2023/915 dated 25 April 2023 on maximum limits of certain contaminants in food replacing Regulation (EC) No 1881/2006, latest version dated 22 July 2024 and referring to other regulations on mycotoxin contamination limits in food that vary between countries around the world as follows:EC Standard 2023/915 dated 25 April 2023 on maximum limits for certain contaminants in food replaces Regulation (EC) No 1881/2006, the latest update dated 22 July 2024, which has changed the maximum limits for some indicators and added regulations for some food groups, such as: adding and changing the limits of Aflatoxin M1, Ocharatoxin A, Zearalenone for some product groups; adding exclusions for the group of formula products for children aged 6-36 months; Additional limits for Ergot sclerotia and ergot alkaloids, T-2 and HT-2;The Codex general standard for contaminants and toxins in food (CODEX STAN 193-1995) 2023 update has added regulations for some product groups and maximum contamination limits for some indicators different from EU regulations.This draft National technical regulation update testing methods: The testing methods stated in the National Technical Regulation QCVN 8-1:2011/BYT are all AOAC methods. However, the Ministry of Science and Technology has currently issued 24 Vietnamese Standards (TCVN) on testing methods for mycotoxins (with appendices attached). Referencing and citing TCVNs in QCVN will create more favourable conditions for organizations and individuals in assessing the conformity of mycotoxin indicators with current regulations. TCVNs on testing methods for mycotoxins referred to in QCVN need to be assessed and confirmed for the validity of the testing method to be suitable for the equipment and technical capacity of testing laboratories.This regulation applies to a) Organizations and individuals importing, producing and trading food products at risk of mycotoxin contamination; b) Relevant organizations and individuals.</t>
  </si>
  <si>
    <t>Foodstuff</t>
  </si>
  <si>
    <t>Human health; Food safety; Contaminants; Mycotoxins; Toxins</t>
  </si>
  <si>
    <d:r xmlns:d="http://schemas.openxmlformats.org/spreadsheetml/2006/main">
      <d:rPr>
        <d:sz val="11"/>
        <d:rFont val="Calibri"/>
      </d:rPr>
      <d:t xml:space="preserve">https://members.wto.org/crnattachments/2025/SPS/VNM/25_00042_00_x.pdf</d:t>
    </d:r>
  </si>
  <si>
    <t>Letter of the Committee for Veterinary Control and Surveillance of the Ministry of Agriculture of Kazakhstan on the introduction of temporary restrictions on the importation to the territory of Kazakhstan from Bács-Kiskun, Komárom-Esztegrom, Baranya, Fejér and Hajdú-Bihar counties of Hungary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</si>
  <si>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(WOAH), an outbreak of highly pathogenic avian influenza was registered in Bács-Kiskun, Komárom-Esztegrom, Baranya, Fejér and Hajdú-Bihar counties of Hungary. In this regard, since 19 November 2024, temporary restrictions have been introduced on the importation to the territory of Kazakhstan from the territory of Bács-Kiskun, Komárom-Esztegrom, Baranya, Fejér and Hajdú-Bihar counties of Hungary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(game birds), used equipment for keeping, slaughtering and cutting birds, as well as for transit from the above territory through the territory of Kazakhstan of live birds.</t>
  </si>
  <si>
    <t>Bács-Kiskun, Komárom-Esztegrom, Baranya, Fejér and Hajdú-Bihar counties of Hungary</t>
  </si>
  <si>
    <t>The DLD order on temporary suspension of  the importation or transit of live poultry and poultry carcasses from New Zealand to prevent the spread of Highly Pathogenic Avian Influenza (Subtype H7N6)</t>
  </si>
  <si>
    <t>The WOAH has reported an outbreak of Highly Pathogenic Avian Influenza (Subtype H7N6) in the area of New Zealand. Therefore, it is necessary for Thailand to prevent the entry of Highly Pathogenic Avian Influenza (Subtype H7N6) into the country. By the virtue of the Animal Epidemics Act B.E. 2558 (2015), the importation or transit of live poultry and poultry carcasses from New Zealand has been temporarily suspended.</t>
  </si>
  <si>
    <t>Animal diseases; Animal health; Avian Influenza</t>
  </si>
  <si>
    <t>Letter of the Committee for Veterinary Control and Surveillance of the Ministry of Agriculture of Kazakhstan on the introduction of temporary restrictions on the importation to the territory of Kazakhstan from South Africa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</si>
  <si>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(WOAH), an outbreak of highly pathogenic avian influenza was registered in South Africa. In this regard, since 19 November 2024, temporary restrictions have been introduced on the importation to the territory of Kazakhstan from the territory of South Africa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(game birds), used equipment for keeping, slaughtering and cutting birds, as well as for transit from the above territory through the territory of Kazakhstan of live birds.</t>
  </si>
  <si>
    <t>Human health; Animal health; Food safety; Animal diseases; Avian Influenza</t>
  </si>
  <si>
    <t>South Africa</t>
  </si>
  <si>
    <t>The process to establish the equivalence between AHRI Standard 210/240-2017 and Central American Technical Regulation (RTCA) No. 23.01.78:20 is under way. The following certification numbers are associated with the validity of this equivalence: AHRI Certified Reference Number: AHRI 211158949 AHRI Certified Reference Number: AHRI 214609252 AHRI Certified Reference Number: AHRI 214609253 AHRI Certified Reference Number: AHRI 214609254 AHRI Certified Reference Number: AHRI 214609255 __________</t>
  </si>
  <si>
    <t>Ordinance MAPA No. 749, of 24 December 2024 - Establishes, within the scope of the Ministry of Agriculture and Livestock, the Sanitary Certification System e-Phyto for issuing phytosanitary certificates for plant products, with the aim of modernising and speeding up the exchange of certification between countries</t>
  </si>
  <si>
    <t>Establishes, within the scope of the Ministry of Agriculture and Livestock, the Sanitary Certification System e-Phyto for issuing phytosanitary certificates for plant products, with the aim of modernising and speeding up the exchange of certification between countries.</t>
  </si>
  <si>
    <t>Products of vegetable origin</t>
  </si>
  <si>
    <t>Territory protection; Plant health</t>
  </si>
  <si>
    <d:r xmlns:d="http://schemas.openxmlformats.org/spreadsheetml/2006/main">
      <d:rPr>
        <d:sz val="11"/>
        <d:rFont val="Calibri"/>
      </d:rPr>
      <d:t xml:space="preserve">https://members.wto.org/crnattachments/2025/SPS/BRA/25_00039_00_x.pdf
https://www.in.gov.br/web/dou/-/portaria-mapa-n-749-de-24-de-dezembro-de-2024-603880285</d:t>
    </d:r>
  </si>
  <si>
    <t>The DLD order on temporary suspension of  the importation or transit of live poultry and poultry carcasses from the United Kingdom to prevent the spread of Highly Pathogenic Avian Influenza (Subtypes H5N1 and H5N5)</t>
  </si>
  <si>
    <t>The WOAH has reported an outbreak of Highly Pathogenic Avian Influenza (Subtypes H5N1 and H5N5) in Cornwall and Yorkshire of the United Kingdom. Therefore, it is necessary for Thailand to prevent the entry of Highly Pathogenic Avian Influenza (Subtypes H5N1 and H5N5) into the country. By the virtue of the Animal Epidemics Act B.E. 2558 (2015), the importation or transit of live poultry and poultry carcasses from Cornwall and Yorkshire of the United Kingdom has been temporarily suspended.</t>
  </si>
  <si>
    <t>United Kingdom</t>
  </si>
  <si>
    <t>The process to establish the equivalence between AHRI Standard 210/240-2017 and Central American Technical Regulation (RTCA) No. 23.01.78:20 is under way. The following certification numbers are associated with the validity of this equivalence: AHRI Certified Reference Number: AHRI 202680601 AHRI Certified Reference Number: AHRI 202680602 AHRI Certified Reference Number: AHRI 202680603 AHRI Certified Reference Number: AHRI 209832269 __________</t>
  </si>
  <si>
    <t>The process to establish the equivalence between AHRI Standard 210/240-2017 and Central American Technical Regulation (RTCA) No. 23.01.78:20 is under way. The following certification numbers are associated with the validity of this equivalence: AHRI Certified Reference Number: AHRI 2148333562 AHRI Certified Reference Number: AHRI 2148333564 __________</t>
  </si>
  <si>
    <t>The process to establish the equivalence between CSA-C358-03 "Energy Consumption Test Methods for Household Electric Ranges" and Decree No. 43524/Costa Rican Technical Regulation (RTCR) No. 503:2021 is under way. The following CSA Group models, classes or certification numbers for certified equipment are associated with the validity of this equivalence: NV51T55115G Electric oven (kWh/yr) 362 __________</t>
  </si>
  <si>
    <t>Draft Resolution 1302, 17 December 2024</t>
  </si>
  <si>
    <t>This draft resolution proposes alteration of the monographies of B33 - BISPIRIBAQUE, B54 - BIXAFEM, B68 - BIXLOZONA, C40 - CLORFENAPIR, F72 - FLUOPIRAM, O19 - ORTOSSULFAMURO, P39 - PIRITIOBAQUE, S19 - SULFOXAFLOR, T61 - TEMBOTRIONE, T70 - TOLFENPIRADE, T71 - METHYL TIENCARBAZONE, on the Monograph List of Active Ingredients for Pesticides, Household Cleaning Products and Wood Preservatives, which was published by Normative Instruction 103 on 19 October 2021 in the Brazilian Official Gazette (DOU - Diário Oficial da União).</t>
  </si>
  <si>
    <t>EDIBLE VEGETABLES AND CERTAIN ROOTS AND TUBERS (HS code(s): 07); Environment. Health protection. Safety (ICS code(s): 13)</t>
  </si>
  <si>
    <t>07 - EDIBLE VEGETABLES AND CERTAIN ROOTS AND TUBERS</t>
  </si>
  <si>
    <t>13 - Environment. Health protection. Safety</t>
  </si>
  <si>
    <d:r xmlns:d="http://schemas.openxmlformats.org/spreadsheetml/2006/main">
      <d:rPr>
        <d:sz val="11"/>
        <d:rFont val="Calibri"/>
      </d:rPr>
      <d:t xml:space="preserve">https://members.wto.org/crnattachments/2024/SPS/BRA/24_08525_00_x.pdf
Draft: https://anexosportal.datalegis.net/arquivos/1876407.pdf
Comment form:  https://pesquisa.anvisa.gov.br/index.php/317549?lang=pt-BR</d:t>
    </d:r>
  </si>
  <si>
    <t>National Standard of the P.R.C., Limiting value of leachable harmful metal elements in wall materials</t>
  </si>
  <si>
    <t xml:space="preserve">This document specifies the limiting value requirements and test methods for leachable harmful metal elements in wall materials._x000D_
This document applies to inorganic non-metallic wall materials used in industrial and civil construction.</t>
  </si>
  <si>
    <t>Wall materials (HS code(s): 68); (ICS code(s): 91.100.01)</t>
  </si>
  <si>
    <t>68 - ARTICLES OF STONE, PLASTER, CEMENT, ASBESTOS, MICA OR SIMILAR MATERIALS</t>
  </si>
  <si>
    <t>91.100.01 - Construction materials in general</t>
  </si>
  <si>
    <t>Prevention of deceptive practices and consumer protection (TBT); Protection of human health or safety (TBT); Protection of the environment (TBT)</t>
  </si>
  <si>
    <d:r xmlns:d="http://schemas.openxmlformats.org/spreadsheetml/2006/main">
      <d:rPr>
        <d:sz val="11"/>
        <d:rFont val="Calibri"/>
      </d:rPr>
      <d:t xml:space="preserve">https://members.wto.org/crnattachments/2024/TBT/CHN/24_08516_00_x.pdf</d:t>
    </d:r>
  </si>
  <si>
    <t>India</t>
  </si>
  <si>
    <t>Draft Plant Quarantine (Regulation of Import into India) Order, 2003 (Twenty Fourth Amendment) 2024</t>
  </si>
  <si>
    <t>The Draft Plant Quarantine (Regulation of Import into India) (Twenty Fourth Amendment) Order, 2024 seeks to delete the entries relating to import of Lolium multiflorum (Italian ryegrass) from USA &amp; Japan from Schedule-VI of PQ Order 2003.</t>
  </si>
  <si>
    <t>Lolium multiflorum (Italian ryegrass) </t>
  </si>
  <si>
    <t>120925 - Ryegrass "Lolium multiflorum lam., Lolium perenne L." seed, for sowing</t>
  </si>
  <si>
    <t>Plant protection (SPS); Protect humans from animal/plant pest or disease (SPS); Protect territory from other damage from pests (SPS)</t>
  </si>
  <si>
    <t>Human health; Plant health; Territory protection</t>
  </si>
  <si>
    <t>Japan; United States of America</t>
  </si>
  <si>
    <d:r xmlns:d="http://schemas.openxmlformats.org/spreadsheetml/2006/main">
      <d:rPr>
        <d:sz val="11"/>
        <d:rFont val="Calibri"/>
      </d:rPr>
      <d:t xml:space="preserve">https://members.wto.org/crnattachments/2024/SPS/IND/24_08526_00_e.pdf</d:t>
    </d:r>
  </si>
  <si>
    <t>National Standard of the P.R.C., Indoor decorating and refurbishing materials—Limit of formaldehyde emission of wood-based panels and finishing products</t>
  </si>
  <si>
    <t xml:space="preserve">This document specifies the formaldehyde release limit requirements, test methods, decision rules and other requirements for indoor decorating and refurbishing materials. _x000D_
This document applies to the formaldehyde release amount of man-made board and its products of indoor, which include fibreboard, particleboard, plywood, blockboard, reconstituted decorative lumber, laminated veneer lumber, glued-laminated timber, surface decorated wood-based panel, wood-based floor, wood-based wall panels, wood-based doors and windows, stone-wood-plastic composite materials, wood-plastic composite materials, etc.</t>
  </si>
  <si>
    <t>Fibreboard, particleboard, plywood, blockboard, reconstituted decorative lumber, laminated veneer lumber, glued-laminated timber, surface decorated wood-based panel, wood-based floor, wood-based panel, wood-based door, wood-based window and other  indoor use of various types of wood-based products (HS code(s): 441012; 441019; 4411; 4412; 44182); (ICS code(s): 79.060.01)</t>
  </si>
  <si>
    <t>4411 - 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 4412 - Plywood, veneered panel and similar laminated wood (excl. sheets of compressed wood, cellular wood panels, parquet panels or sheets, inlaid wood and sheets identifiable as furniture components); 441012 - Oriented strand board "OSB", of wood; 441019 - Waferboard and similar board, of wood, whether or not agglomerated with resins or other organic binding substances (excl. particle board, oriented strand board, fibreboard and cellular wood panels); 44182 - - Doors and their frames and thresholds:</t>
  </si>
  <si>
    <t>79.060.01 - Wood-based panels in general</t>
  </si>
  <si>
    <t>Prevention of deceptive practices and consumer protection (TBT); Protection of human health or safety (TBT); Protection of the environment (TBT); Quality requirements (TBT)</t>
  </si>
  <si>
    <d:r xmlns:d="http://schemas.openxmlformats.org/spreadsheetml/2006/main">
      <d:rPr>
        <d:sz val="11"/>
        <d:rFont val="Calibri"/>
      </d:rPr>
      <d:t xml:space="preserve">https://members.wto.org/crnattachments/2024/TBT/CHN/24_08523_00_x.pdf</d:t>
    </d:r>
  </si>
  <si>
    <t>Establece requisitos fitosanitarios de importación para plantas de frutilla (Fragaria × ananassa) procedentes de los Estados miembros de la Unión Europea, modifica resolución n° 7.243 de 20 (Phytosanitary import requirements for strawberry (Fragaria × ananassa) plants from European Union member States and amendment to Resolution No. 7.243 of 2012)</t>
  </si>
  <si>
    <t>The notified measure amends Resolution No. 7.243 of 2012 given that, in the PRA for Fragaria × ananassa plants from European Union member States, new quarantine pests associated with this pathway have been identified, making it necessary to establish phytosanitary measures to reduce the risk of these pests entering the country.</t>
  </si>
  <si>
    <t>Strawberry (Fragaria × ananassa) plants</t>
  </si>
  <si>
    <t>060220 - Edible fruit or nut trees, shrubs and bushes, whether or not grafted</t>
  </si>
  <si>
    <t>Pests; Plant health</t>
  </si>
  <si>
    <d:r xmlns:d="http://schemas.openxmlformats.org/spreadsheetml/2006/main">
      <d:rPr>
        <d:sz val="11"/>
        <d:rFont val="Calibri"/>
      </d:rPr>
      <d:t xml:space="preserve">https://members.wto.org/crnattachments/2024/SPS/CHL/24_08524_00_s.pdf
https://members.wto.org/crnattachments/2024/SPS/CHL/24_08524_01_s.pdf</d:t>
    </d:r>
  </si>
  <si>
    <t>National Standard of the P.R.C., Alcohol-based liquid fuel</t>
  </si>
  <si>
    <t>This document specifies the product varieties and marks, requirements and test methods, inspection rules, signs, packaging, transportation, storage and safety of alcohol-based liquid fuel.This document applies to methanol-based alcohol liquid fuel, which is used for thermal combustion, rather than spark-ignition or compression-ignition internal combustion.</t>
  </si>
  <si>
    <t>Alcohol-based liquid fuel (HS code(s): 360610); (ICS code(s): 75.160.20)</t>
  </si>
  <si>
    <t>360610 - Liquid or liquefied-gas fuels in containers of a kind used for filling or refilling cigarette or similar lighters, with a capacity of &lt;= 300 cm³</t>
  </si>
  <si>
    <t>75.160.20 - Liquid fuels</t>
  </si>
  <si>
    <d:r xmlns:d="http://schemas.openxmlformats.org/spreadsheetml/2006/main">
      <d:rPr>
        <d:sz val="11"/>
        <d:rFont val="Calibri"/>
      </d:rPr>
      <d:t xml:space="preserve">https://members.wto.org/crnattachments/2024/TBT/CHN/24_08521_00_x.pdf</d:t>
    </d:r>
  </si>
  <si>
    <t>National Standard of the P.R.C., Harvesting machinery—Noise limits</t>
  </si>
  <si>
    <t xml:space="preserve">This document specifies limits of dynamic environmental noise and noise at the operator's position for harvesting machinery. _x000D_
This document applies to self-propelled combine harvesters, corn harvesters, forage harvesters, cotton harvesters, and sugar cane harvesters.</t>
  </si>
  <si>
    <t>Agricultural machinery (HS code(s): 843351; 843359); (ICS code(s): 65.060.50)</t>
  </si>
  <si>
    <t>843351 - Combine harvester-threshers; 843359 - Harvesting machinery for agricultural produce (excl. mowers, haymaking machinery, straw and fodder balers, incl. pick-up balers, combine harvester-threshers, other threshing machinery and root or tuber harvesting machines)</t>
  </si>
  <si>
    <t>65.060.50 - Harvesting equipment</t>
  </si>
  <si>
    <d:r xmlns:d="http://schemas.openxmlformats.org/spreadsheetml/2006/main">
      <d:rPr>
        <d:sz val="11"/>
        <d:rFont val="Calibri"/>
      </d:rPr>
      <d:t xml:space="preserve">https://members.wto.org/crnattachments/2024/TBT/CHN/24_08519_00_x.pdf</d:t>
    </d:r>
  </si>
  <si>
    <t>National Standard of the P.R.C., Safety in welding and cutting</t>
  </si>
  <si>
    <t xml:space="preserve">This document specifies the basic principles to be followed in avoiding personal injury and property damage during welding and cutting operations. _x000D_
This document applies to the operation, training, management and supervision of welding and cutting operations.</t>
  </si>
  <si>
    <t>Welding and cutting equipment, including electric welding machine, lasers, electronic beam equipment, cutting machines, welding pliers, cylinders; auxiliary equipment: cables, regulator, regulating valve, tooling, tools; personnel protective devices: masks and goggles, protective clothing and gloves, respiratory protection devices such as long pipe masks, gas masks, fire extinguishers and water sprinklers, protective signs, etc. (HS code(s): 847689; 847780; 851531); (ICS code(s): 25.160.01)</t>
  </si>
  <si>
    <t>851531 - Fully or partly automatic machines for arc welding of metals, incl. plasma arc welding; 847780 - Machinery for working rubber or plastics or for the manufacture of products from these materials, not specified or included elsewhere in this chapter; 847689 - Automatic goods-vending machines, without heating or refrigerating devices; money changing machines (excl. automatic beverage-vending machines)</t>
  </si>
  <si>
    <t>25.160.01 - Welding, brazing and soldering in general</t>
  </si>
  <si>
    <d:r xmlns:d="http://schemas.openxmlformats.org/spreadsheetml/2006/main">
      <d:rPr>
        <d:sz val="11"/>
        <d:rFont val="Calibri"/>
      </d:rPr>
      <d:t xml:space="preserve">https://members.wto.org/crnattachments/2024/TBT/CHN/24_08520_00_x.pdf</d:t>
    </d:r>
  </si>
  <si>
    <t>Changing standards for labelling of Feeds</t>
  </si>
  <si>
    <t>MAFF will amend the standard for labeling of feed stipulated in “Ministerial Ordinance on the Specifications and Standards of Feeds and Feed Additives “(Ordinance No. 35 of July 24th, 1976 of the Ministry of Agriculture and Forestry). The objective of the amendment is to remove the requirement to label final products with the content ratio of propionic acid, calcium propionate, sodium propionate, formic acid and fumaric acid.</t>
  </si>
  <si>
    <t>Propionic acid, Calcium Propionate, Sodium Propionate, formic acid or fumaric acid as a feed additive</t>
  </si>
  <si>
    <t>65.120 - Animal feeding stuffs</t>
  </si>
  <si>
    <t>Consumer information, labelling (TBT); Cost saving and productivity enhancement (TBT)</t>
  </si>
  <si>
    <t>Labelling</t>
  </si>
  <si>
    <d:r xmlns:d="http://schemas.openxmlformats.org/spreadsheetml/2006/main">
      <d:rPr>
        <d:sz val="11"/>
        <d:rFont val="Calibri"/>
      </d:rPr>
      <d:t xml:space="preserve">https://members.wto.org/crnattachments/2024/TBT/JPN/24_08499_00_e.pdf</d:t>
    </d:r>
  </si>
  <si>
    <t>National Standard of the P.R.C., Safety technical requirements for building decorative stone</t>
  </si>
  <si>
    <t xml:space="preserve">This document specifies the safety technical requirements and test methods for building decorative stones and their auxiliary materials._x000D_
This document applies to natural and synthetic stones used in building decoration and auxiliary materials such as adhesives and care agents involved in their production.</t>
  </si>
  <si>
    <t>Natural decorative stones and synthetic stones (HS code(s): 680299; 681019; 681099); (ICS code(s): 91.100.15)</t>
  </si>
  <si>
    <t>680299 - Monumental or building stone, in any form, polished, decorated or otherwise worked (excl. calcareous stone, granite and slate, tiles, cubes and similar articles of subheading 6802.10, articles of fused basalt, articles of natural steatite, ceramically calcined, imitation jewellery, clocks, lamps and lighting fittings and parts thereof, original sculptures and statuary, setts, curbstones and flagstones); 681019 - Tiles, flagstones, bricks and similar articles, of cement, concrete or artificial stone (excl. building blocks and bricks); 681099 - Articles of cement, concrete or artificial stone, whether or not reinforced (excl. prefabricated structural components for building or civil engineering, tiles, paving, bricks and the like)</t>
  </si>
  <si>
    <t>91.100.15 - Mineral materials and products</t>
  </si>
  <si>
    <d:r xmlns:d="http://schemas.openxmlformats.org/spreadsheetml/2006/main">
      <d:rPr>
        <d:sz val="11"/>
        <d:rFont val="Calibri"/>
      </d:rPr>
      <d:t xml:space="preserve">https://members.wto.org/crnattachments/2024/TBT/CHN/24_08518_00_x.pdf</d:t>
    </d:r>
  </si>
  <si>
    <t>National Standard of the P.R.C., Basic requirements of security processing for intelligent and connected vehicle spatio-temporal data</t>
  </si>
  <si>
    <t xml:space="preserve">This document specifies the basic requirements for the confidentiality processing of spatio-temporal data in intelligent and connected vehicles, as well as for the security processing of geographic information during storage, transmission, and other stages._x000D_
This document applies to intelligent and connected vehicles that are sold to the public and operated within the territory of the People's Republic of China.</t>
  </si>
  <si>
    <t>Connected vehicle (HS code(s): 87); (ICS code(s): 07.040)</t>
  </si>
  <si>
    <t>87 - VEHICLES OTHER THAN RAILWAY OR TRAMWAY ROLLING STOCK, AND PARTS AND ACCESSORIES THEREOF</t>
  </si>
  <si>
    <t>07.040 - Astronomy. Geodesy. Geography</t>
  </si>
  <si>
    <d:r xmlns:d="http://schemas.openxmlformats.org/spreadsheetml/2006/main">
      <d:rPr>
        <d:sz val="11"/>
        <d:rFont val="Calibri"/>
      </d:rPr>
      <d:t xml:space="preserve">https://members.wto.org/crnattachments/2024/TBT/CHN/24_08508_00_x.pdf</d:t>
    </d:r>
  </si>
  <si>
    <t>National Standard of the P.R.C., Requirements for restricted use of hazardous substances in electrical and electronic products</t>
  </si>
  <si>
    <t xml:space="preserve">This document specifies the limit requirements, labeling requirements and conformity assessment requirements for hazardous substances in electrical and electronic products._x000D_
This document applies to electrical and electronic products produced, sold, and imported within the territory of the People's Republic of China.</t>
  </si>
  <si>
    <t>Electrical and electronic products (HS code(s): 85; 90); (ICS code(s): 13.020)</t>
  </si>
  <si>
    <t>85 - ELECTRICAL MACHINERY AND EQUIPMENT AND PARTS THEREOF; SOUND RECORDERS AND REPRODUCERS, TELEVISION IMAGE AND SOUND RECORDERS AND REPRODUCERS, AND PARTS AND ACCESSORIES OF SUCH ARTICLES; 90 - OPTICAL, PHOTOGRAPHIC, CINEMATOGRAPHIC, MEASURING, CHECKING, PRECISION, MEDICAL OR SURGICAL INSTRUMENTS AND APPARATUS; PARTS AND ACCESSORIES THEREOF</t>
  </si>
  <si>
    <t>13.020 - Environmental protection</t>
  </si>
  <si>
    <d:r xmlns:d="http://schemas.openxmlformats.org/spreadsheetml/2006/main">
      <d:rPr>
        <d:sz val="11"/>
        <d:rFont val="Calibri"/>
      </d:rPr>
      <d:t xml:space="preserve">https://members.wto.org/crnattachments/2024/TBT/CHN/24_08514_00_x.pdf</d:t>
    </d:r>
  </si>
  <si>
    <t> Partial amendment of Regulations for Terminal Facilities </t>
  </si>
  <si>
    <t>As announced in G/TBT/N/JPN/832 dated 26 September 2024, the revisions will enter into force on 1 July 2025, and a part of amendment will enter into force on 1 January,2026. The texts of the amendments in Japanese are available on the following:Website of the Ministry of Internal Affairs and Communications.https://www.soumu.go.jp/menu_hourei/s_shourei.html</t>
  </si>
  <si>
    <t>Mobile phones compatible with multiple SIM </t>
  </si>
  <si>
    <t>33.050.10 - Telephone equipment; 33.050.10 - Telephone equipment; 33.070 - Mobile services; 33.070 - Mobile services</t>
  </si>
  <si>
    <d:r xmlns:d="http://schemas.openxmlformats.org/spreadsheetml/2006/main">
      <d:rPr>
        <d:sz val="11"/>
        <d:rFont val="Calibri"/>
      </d:rPr>
      <d:t xml:space="preserve">Ministerial ordinance for partial revisions of the Regulations for Terminal Facilities
 etc . (Ministerial ordinance of the Ministry of Internal Affairs and Communications
 No.100 of 2024.) (Available in Japanese.)
https://www.soumu.go.jp/menu_hourei/s_shourei.html</d:t>
    </d:r>
  </si>
  <si>
    <t>Egypt</t>
  </si>
  <si>
    <t>Ministerial Decree No. 447/2024</t>
  </si>
  <si>
    <t>Notification G/SPS/N/EGY/156 dated 25 October 2024, mandatory Egyptian standard ES 465-3/2024 "cocoa and its products part: 3 chocolate", para. 4, should read as follows:Worth mentioning is that this standard is (partial amendment in 1 page, in Arabic):Item No. (1) Scope: Chocolate shall be prepared from cocoa and cocoa materials with sugars and may contain sweeteners, milk products, flavouring substances and other food ingredients.Item No. (2) definition:2/2/1 Chocolate Vermicelli (Vermicelli) and Chocolate Flakes.2/2/1/1 Chocolate Vermicelli (Vermicelli)/Chocolate Flakes.2/2/1/2 Milk Chocolate Vermicelli (Vermicelli)/Milk Chocolate Flakes.Item No. (3) Basic requirements:3/1 Chocolate Vermicelli (Vermicelli) and Chocolate Flakes as in item (2/2/1).Item No. (5) Packaging and Labelling:Item (5/6) will be added including the following: "Products not covered by this standard, where the chocolate flavour is derived solely from non-fat cocoa solids, may bear the name 'chocolate' in their designation". This is to avoid confusion with those products listed under this standard.</t>
  </si>
  <si>
    <t>Chocolate (ICS code: 67.190)</t>
  </si>
  <si>
    <t>1806 - Chocolate and other food preparations containing cocoa; 1806 - Chocolate and other food preparations containing cocoa</t>
  </si>
  <si>
    <t>67.190 - Chocolate; 67.190 - Chocolate</t>
  </si>
  <si>
    <t>Food safety (SPS); Food safety (SPS)</t>
  </si>
  <si>
    <t>Human health; Food safety; Human health; Food safety</t>
  </si>
  <si>
    <t>National Standard of the P.R.C., Tractor—Limits of emitted noise</t>
  </si>
  <si>
    <t xml:space="preserve">This document specifies limits of dynamic environmental noise and noise at the operator’s position of tractors. _x000D_
It applies to wheeled tractor, track-laying tractor, walking tractor and boat tractor.</t>
  </si>
  <si>
    <t>tractor (HS code(s): 8701); (ICS code(s): 65.060.10)</t>
  </si>
  <si>
    <t>8701 - Tractors (other than tractors of heading 8709)</t>
  </si>
  <si>
    <t>65.060.10 - Agricultural tractors and trailed vehicles</t>
  </si>
  <si>
    <t>Protection of human health or safety (TBT); Protection of the environment (TBT); Quality requirements (TBT)</t>
  </si>
  <si>
    <d:r xmlns:d="http://schemas.openxmlformats.org/spreadsheetml/2006/main">
      <d:rPr>
        <d:sz val="11"/>
        <d:rFont val="Calibri"/>
      </d:rPr>
      <d:t xml:space="preserve">https://members.wto.org/crnattachments/2024/TBT/CHN/24_08515_00_x.pdf</d:t>
    </d:r>
  </si>
  <si>
    <t>National Standard of the P.R.C., Basic security requirements of spatio-temporal data sensing system of intelligent and connected vehicle</t>
  </si>
  <si>
    <t xml:space="preserve">This document specifies the safety requirements, testing requirements, criteria for homologation of the same type, and implementation transition period for the installation and integration of functions related to spatio-temporal data perception and processing in intelligent connected vehicles._x000D_
This document applies to intelligent connected vehicles equipped with a spatio-temporal data sensing system, sold to the public and operating within the territory of the People's Republic of China.</t>
  </si>
  <si>
    <d:r xmlns:d="http://schemas.openxmlformats.org/spreadsheetml/2006/main">
      <d:rPr>
        <d:sz val="11"/>
        <d:rFont val="Calibri"/>
      </d:rPr>
      <d:t xml:space="preserve">https://members.wto.org/crnattachments/2024/TBT/CHN/24_08509_00_x.pdf</d:t>
    </d:r>
  </si>
  <si>
    <t>National Standard of the P.R.C., Agricultural machinery—Safety—Part 7:Combine harvesters, forage harvesters, cotton harvesters and sugar cane harvesters</t>
  </si>
  <si>
    <t>This document specifies the safety requirements and their verification for the design and construction of combine harvesters, forage harvesters, cotton harvesters and sugar cane harvesters. It describes methods for operators to eliminate or reduce hazard course by the intended use of these machines during normal operation and maintenance procedures. In addition, it specifies the types of information on safe working practices to be provided by the manufacturer.This document applies to all the significant hazards, hazardous situations and events relevant to combine harvesters, forage harvesters, cotton harvesters and sugar cane harvesters with their intended use and reasonably foreseeable misuse conditions by the manufacturer.</t>
  </si>
  <si>
    <d:r xmlns:d="http://schemas.openxmlformats.org/spreadsheetml/2006/main">
      <d:rPr>
        <d:sz val="11"/>
        <d:rFont val="Calibri"/>
      </d:rPr>
      <d:t xml:space="preserve">https://members.wto.org/crnattachments/2024/TBT/CHN/24_08510_00_x.pdf</d:t>
    </d:r>
  </si>
  <si>
    <t> Partial amendment of Regulations, and establishment and partial amendment of relevant public notices for Terminal Facilities</t>
  </si>
  <si>
    <t>As announced in G/TBT/N/JPN/831 dated 26 September 2024, the revisions will enter in force on 1 January, 2025.The texts of the amendments in Japanese are available on the following:Website of the Ministry of Internal Affairs and Communications.https://www.soumu.go.jp/menu_hourei/s_shourei.html</t>
  </si>
  <si>
    <t>Terminal facilities used to interconnect with telecommunications line facilities(networks)</t>
  </si>
  <si>
    <t>33.020 - Telecommunications in general; 33.020 - Telecommunications in general</t>
  </si>
  <si>
    <t>National Standard of the P.R.C.,Agricultural machinery—Safety—Part 6: Equipment for crop protection</t>
  </si>
  <si>
    <t xml:space="preserve">This document specifies the safety requirements and their verification for the design and construction of sprayers, knapsack, mounted, semi-mounted, trailed and self-propelled agricultural sprayer machines for use with plant protection products (PPP) and liquid fertilizer application. _x000D_
The document specifies the types of information on safe working practices (including residual risks) to be provided by the manufacturer. _x000D_
This document applies to significant hazards, hazardous situations and events relevant to sprayers and liquid fertilizer distributors when they are used as intended and under foreseeable conditions by the manufacturer, excepting the hazards arising from protection of the driver against spray when spraying, automatically actuated height adjustment systems, the environmental factors other than noise, moving parts for power transmission except strength requirements for guards and barriers.</t>
  </si>
  <si>
    <t>Agricultural machinery (HS code(s): 842430; 84244; 842482); (ICS code(s): 65.060.40)</t>
  </si>
  <si>
    <t>842482 - Agricultural or horticultural mechanical appliances, whether or not hand-operated, for projecting or dispersing liquids or powders (excl. sprayers); 84244 - - Agricultural or horticultural sprayers:; 842430 - Steam or sand blasting machines and similar jet projecting machines, incl. water cleaning appliances with built-in motor (excl. appliances for cleaning special containers)</t>
  </si>
  <si>
    <t>65.060.40 - Plant care equipment</t>
  </si>
  <si>
    <d:r xmlns:d="http://schemas.openxmlformats.org/spreadsheetml/2006/main">
      <d:rPr>
        <d:sz val="11"/>
        <d:rFont val="Calibri"/>
      </d:rPr>
      <d:t xml:space="preserve">https://members.wto.org/crnattachments/2024/TBT/CHN/24_08511_00_x.pdf</d:t>
    </d:r>
  </si>
  <si>
    <t>National Standard of the P.R.C., Minimum allowable values and grades of the energy efficiency and water efficiency for smart water closets</t>
  </si>
  <si>
    <t xml:space="preserve">This document specifies the energy and water efficiency limit values and grades, technical requirements, and testing methods for smart water closets._x000D_
This document applies to smart water closets installed on cold water pipelines within building facilities.</t>
  </si>
  <si>
    <t>Smart water closets (HS code(s): 691010); (ICS code(s): 27.010)</t>
  </si>
  <si>
    <t>691010 - Ceramic sinks, washbasins, washbasin pedestals, baths, bidets, water closet pans, flushing cisterns, urinals and similar sanitary fixtures of porcelain or china (excl. soap dishes, sponge holders, tooth-brush holders, towel hooks and toilet paper holders)</t>
  </si>
  <si>
    <t>27.010 - Energy and heat transfer engineering in general</t>
  </si>
  <si>
    <t>Protection of the environment (TBT)</t>
  </si>
  <si>
    <d:r xmlns:d="http://schemas.openxmlformats.org/spreadsheetml/2006/main">
      <d:rPr>
        <d:sz val="11"/>
        <d:rFont val="Calibri"/>
      </d:rPr>
      <d:t xml:space="preserve">https://members.wto.org/crnattachments/2024/TBT/CHN/24_08522_00_x.pdf</d:t>
    </d:r>
  </si>
  <si>
    <t>National Standard of the P.R.C., Limitation requirements of harmful elements in graphite and fluorite</t>
  </si>
  <si>
    <t xml:space="preserve">This document specifies the limit requirements and test methods of harmful elements in graphite and fluorite._x000D_
This document applies to graphite and fluorite.</t>
  </si>
  <si>
    <t>Graphite, fluorite (HS code(s): 2504; 25292); (ICS code(s): 73.080)</t>
  </si>
  <si>
    <t>2504 - Natural graphite; 25292 - - Fluorspar:</t>
  </si>
  <si>
    <t>73.080 - Non-metalliferous minerals</t>
  </si>
  <si>
    <d:r xmlns:d="http://schemas.openxmlformats.org/spreadsheetml/2006/main">
      <d:rPr>
        <d:sz val="11"/>
        <d:rFont val="Calibri"/>
      </d:rPr>
      <d:t xml:space="preserve">https://members.wto.org/crnattachments/2024/TBT/CHN/24_08517_00_x.pdf</d:t>
    </d:r>
  </si>
  <si>
    <t>Event Data Recorders</t>
  </si>
  <si>
    <t xml:space="preserve">This final rule amends regulations regarding event data recorders (EDRs) to extend the EDR recording period for timed data metrics from 5 seconds of pre-crash data at a frequency of 2 Hz to 20 seconds of pre-crash data at a frequency of 10 Hz. This final rule responds to the mandate of the Fixing America's Surface Transportation Act (FAST Act) to establish the appropriate recording period in NHTSA's EDR regulation.Effective Date: This rule is effective 17 January 2025.    Compliance Dates: The compliance date is 1 September 2027. Vehicles produced by small-volume or limited-line manufacturers must comply with this final rule on or after 1 September 2029. Altered vehicles and vehicles manufactured in two or more stages must comply with this final rule if manufactured on or after 1 September 2030.    Petition for reconsideration: Petitions for reconsideration of this final rule must be received not later than 3 February 2025.89 Federal Register (FR) 102810, 18 December 2024; Title 49 Code of Federal Regulations (CFR) Part 563_x000D_
https://www.govinfo.gov/content/pkg/FR-2024-12-18/html/2024-29862.htmhttps://www.govinfo.gov/content/pkg/FR-2024-12-18/pdf/2024-29862.pdfThis final rule is identified by Docket Number NHTSA-2024-0084. The Docket Folder is available from Regulations.gov at https://www.regulations.gov/docket/NHTSA-2024-0084/document and provides access to primary documents. Documents are also accessible from Regulations.gov by searching the Docket Number. WTO Members and their stakeholders are asked to submit petitions for reconsideration to the USA TBT Enquiry Point by or before 4pmEastern Time on 3 February 2025. Petitions for reconsideration received by the USA TBT Enquiry Point from WTO Members and their stakeholders will be shared with NHTSA.The notice of proposed rulemaking notified as G/TBT/N/USA/1881 is identified by Docket Number NHTSA-2022-0021. The Docket Folder is available from Regulations.gov at https://www.regulations.gov/docket/NHTSA-2022-0021/document and provides access to primary and supporting documents as well as comments received. Documents are also accessible from Regulations.gov by searching the Docket Number. </t>
  </si>
  <si>
    <t>Event data recorders; Car informatics. On board computer systems (ICS code(s): 43.040.15)</t>
  </si>
  <si>
    <t>43.040.15 - Car informatics. On board computer systems; 43.040.15 - Car informatics. On board computer systems</t>
  </si>
  <si>
    <d:r xmlns:d="http://schemas.openxmlformats.org/spreadsheetml/2006/main">
      <d:rPr>
        <d:sz val="11"/>
        <d:rFont val="Calibri"/>
      </d:rPr>
      <d:t xml:space="preserve">https://members.wto.org/crnattachments/2024/TBT/USA/final_measure/24_08493_00_e.pdf</d:t>
    </d:r>
  </si>
  <si>
    <t xml:space="preserve">High-Priority Substance Designations Under the Toxic Substances 
Control Act (TSCA) and Initiation of Risk Evaluation on High-Priority 
Substances; Notice of Availability</t>
  </si>
  <si>
    <t xml:space="preserve">Under the Toxic Substances Control Act (TSCA) and related implementing regulations, EPA is designating five chemicals as High- Priority Substances for risk evaluation. This document provides the identity of five chemical substances for final designation as High-Priority Substances for risk evaluation, EPA's rationale for final designation as High-Priority Substances, and instructions on how to access the chemical-specific information, analysis, and basis EPA used to support final designations for the chemical substances. A designation of a substance as a High-Priority Substance is not a finding of unreasonable risk. Rather, the designation of these chemical substances as high priority constitutes the initiation of evaluation of associated risk.The designations of High-Priority Substances for risk evaluation in this notice are effective 18 December 2024.89 Federal Register (FR) 102900, 18 December 2024:_x000D_
https://www.govinfo.gov/content/pkg/FR-2024-12-18/html/2024-29830.htm_x000D_
https://www.govinfo.gov/content/pkg/FR-2024-12-18/pdf/2024-29830.pdf_x000D_
This and other actions notified under the symbol G/TBT/N/USA/2133 are identified by Docket Number EPA-HQ-OPPT-2023-0601. The Docket Folder is available on Regulations.gov at https://www.regulations.gov/docket/EPA-HQ-OPPT-2023-0601/document and provides access to primary and supporting documents as well as comments received. Documents are also accessible from Regulations.gov by searching the Docket Number. </t>
  </si>
  <si>
    <t>High priority 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</si>
  <si>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 13.020 - Environmental protection; 71.020 - Production in the chemical industry; 71.100 - Products of the chemical industry</t>
  </si>
  <si>
    <d:r xmlns:d="http://schemas.openxmlformats.org/spreadsheetml/2006/main">
      <d:rPr>
        <d:sz val="11"/>
        <d:rFont val="Calibri"/>
      </d:rPr>
      <d:t xml:space="preserve">https://members.wto.org/crnattachments/2024/TBT/USA/24_08491_00_e.pdf</d:t>
    </d:r>
  </si>
  <si>
    <t>Perchloroethylene (PCE); Regulation Under the Toxic Substances Control Act (TSCA)</t>
  </si>
  <si>
    <t xml:space="preserve">The Environmental Protection Agency (EPA or Agency) is finalizing a rule to address the unreasonable risk of injury to health presented by perchloroethylene (PCE) under its conditions of use. The Toxic Substances Control Act (TSCA) requires that EPA address by rule any unreasonable risk of injury to health or the environment identified in a TSCA risk evaluation and apply requirements to the extent necessary so that the chemical no longer presents unreasonable risk. EPA's final rule will, among other things, prevent serious illness associated with uncontrolled exposures to the chemical by preventing consumer access to the chemical, restricting the industrial and commercial use of the chemical while also allowing for a reasonable transition period where the industrial and commercial use of the chemical is being prohibited, providing a time-limited exemption for a critical or essential use of PCE for which no technically and economically feasible safer alternative is available, and protecting workers from the unreasonable risk of PCE while on the job.This final rule is effective on 17 January 2025.89 Federal Register (FR) 103560, 18 December 2024; Title 40 Code of Federal Regulations (CFR) Part 751_x000D_
https://www.govinfo.gov/content/pkg/FR-2024-12-18/html/2024-30117.htm_x000D_
https://www.govinfo.gov/content/pkg/FR-2024-12-18/pdf/2024-30117.pdfThis final rule and the proposed rule notified as G/TBT/N/USA/2008 are identified by Docket Number EPA-HQ-OPPT-2020-0720. The Docket Folder is available on Regulations.gov at https://www.regulations.gov/docket/EPA-HQ-OPPT-2020-0720/document and provides access to primary and supporting documents as well as comments received. Documents are also accessible from Regulations.gov by searching the Docket Number. </t>
  </si>
  <si>
    <t>Perchloroethylene (PCE); Quality (ICS code(s): 03.120); Environmental protection (ICS code(s): 13.020); Occupational safety. Industrial hygiene (ICS code(s): 13.100); Domestic safety (ICS code(s): 13.120); Production in the chemical industry (ICS code(s): 71.020); Products of the chemical industry (ICS code(s): 71.100)</t>
  </si>
  <si>
    <t>03.120 - Quality; 13.020 - Environmental protection; 13.100 - Occupational safety. Industrial hygiene; 13.120 - Domestic safety; 71.020 - Production in the chemical industry; 71.100 - Products of the chemical industry; 03.120 - Quality; 13.020 - Environmental protection; 13.100 - Occupational safety. Industrial hygiene; 13.120 - Domestic safety; 71.020 - Production in the chemical industry; 71.100 - Products of the chemical industry</t>
  </si>
  <si>
    <t>Protection of human health or safety (TBT); Quality requirements (TBT)</t>
  </si>
  <si>
    <d:r xmlns:d="http://schemas.openxmlformats.org/spreadsheetml/2006/main">
      <d:rPr>
        <d:sz val="11"/>
        <d:rFont val="Calibri"/>
      </d:rPr>
      <d:t xml:space="preserve">https://members.wto.org/crnattachments/2024/TBT/USA/final_measure/24_08489_00_e.pdf</d:t>
    </d:r>
  </si>
  <si>
    <t xml:space="preserve">Initiation of Prioritization Under the Toxic Substances Control 
Act (TSCA); Notice of Availability</t>
  </si>
  <si>
    <t xml:space="preserve">Under the Toxic Substances Control Act (TSCA) and related implementing regulations, EPA is initiating the prioritization process for five chemical substances as candidates for designation as High-Priority Substances for risk evaluation. This action provides the identity of the chemical substances being initiated for prioritization, a general explanation of why the Agency chose these chemical substances, and information on the data sources EPA plans to use to support the designation. EPA is providing a 90-day comment period, during which interested persons may submit relevant information on these chemical substances.Comments must be received on or before 18 March 2025.89 Federal Register (FR) 102903, 18 December 2024:_x000D_
https://www.govinfo.gov/content/pkg/FR-2024-12-18/html/2024-29829.htm_x000D_
https://www.govinfo.gov/content/pkg/FR-2024-12-18/pdf/2024-29829.pdf_x000D_
This and other actions notified under the symbol G/TBT/N/USA/2133 are identified by Docket Number EPA-HQ-OPPT-2023-0601. The Docket Folder is available on Regulations.gov at https://www.regulations.gov/docket/EPA-HQ-OPPT-2023-0601/document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18 March 2025. Comments received by the USA TBT Enquiry Point from WTO Members and their stakeholders will be shared with EPA and will also be submitted to the Docket on Regulations.gov if received within the comment period.</t>
  </si>
  <si>
    <d:r xmlns:d="http://schemas.openxmlformats.org/spreadsheetml/2006/main">
      <d:rPr>
        <d:sz val="11"/>
        <d:rFont val="Calibri"/>
      </d:rPr>
      <d:t xml:space="preserve">https://members.wto.org/crnattachments/2024/TBT/USA/modification/24_08492_00_e.pdf</d:t>
    </d:r>
  </si>
  <si>
    <t>Colombia</t>
  </si>
  <si>
    <t>Resolución 15959 de 2024 "Por medio de la cual se establecen los requisitos fitosanitarios para la importación a Colombia de plántulas in vitro de Echinacea Moench de origen y procedencia India" (Resolution No. 15959 of 2024 establishing phytosanitary requirements for the importation into Colombia of in vitro echinacea (Echinacea Moench) seedlings originating in and coming from India) The Republic of Colombia hereby advises that it has issued Resolution No. 15959 of 2024 establishing phytosanitary requirements for the importation into Colombia of in vitro echinacea (Echinacea Moench) seedlings originating in and coming from India, which was published in Official Journal No. 52.927 of 1 November 2024 and entered into force the same day. https://www.ica.gov.co/getattachment/62c7ad91-cd7f-4300-9334-7b8e30edc1be/202400015959.aspx https://members.wto.org/crnattachments/2024/SPS/COL/24_08480_00_s.pdf</t>
  </si>
  <si>
    <t>Plántulas in vitro de Echinacea Moench</t>
  </si>
  <si>
    <t>0601 - Bulbs, tubers, tuberous roots, corms, crowns and rhizomes, dormant, in growth or in flower, chicory plants and roots (excl. bulbs, tubers and tuberous roots used for human consumption and chicory roots of the variety cichorium intybus sativum); 0601 - Bulbs, tubers, tuberous roots, corms, crowns and rhizomes, dormant, in growth or in flower, chicory plants and roots (excl. bulbs, tubers and tuberous roots used for human consumption and chicory roots of the variety cichorium intybus sativum)</t>
  </si>
  <si>
    <t>Plant diseases; Plant health; Adoption/publication/entry into force of reg.; Plant diseases; Plant health</t>
  </si>
  <si>
    <d:r xmlns:d="http://schemas.openxmlformats.org/spreadsheetml/2006/main">
      <d:rPr>
        <d:sz val="11"/>
        <d:rFont val="Calibri"/>
      </d:rPr>
      <d:t xml:space="preserve">https://members.wto.org/crnattachments/2024/SPS/COL/24_08480_00_s.pdf
https://www.ica.gov.co/getattachment/62c7ad91-cd7f-4300-9334-7b8e30edc1be/202400015959.aspx</d:t>
    </d:r>
  </si>
  <si>
    <t>Amendments the Import Health Standard for Stored Plant Products for Human Consumption (SPP.Human.IHS)</t>
  </si>
  <si>
    <t>MPI is proposing to amend the Import Health Standard for Stored Plant Products for Human Consumption. The proposed changes for consultation are outlined in Appendix 1 of the Risk management proposal and seek to:Update requirements for importing legumes in soup mix of retail packets up to 1 kg.Add South Korea to the list of countries that have no requirements for packaged rice (up to 25 kg). </t>
  </si>
  <si>
    <t>Stored Plant Product</t>
  </si>
  <si>
    <d:r xmlns:d="http://schemas.openxmlformats.org/spreadsheetml/2006/main">
      <d:rPr>
        <d:sz val="11"/>
        <d:rFont val="Calibri"/>
      </d:rPr>
      <d:t xml:space="preserve">https://members.wto.org/crnattachments/2024/SPS/NZL/24_08485_00_e.pdf
https://members.wto.org/crnattachments/2024/SPS/NZL/24_08485_01_e.pdf</d:t>
    </d:r>
  </si>
  <si>
    <t>Resolución 18763 de 2024 "Por medio de la cual se establecen los requisitos fitosanitarios para la importación a Colombia de clavos de olor secos (Syzygium aromaticum (L.) Merr. &amp; L.M.Perry) procedentes de la República Popular de China" (Resolution No. 18763 of 2024 establishing phytosanitary requirements for the importation into Colombia of dried cloves (Syzygium aromaticum (L.) Merr. &amp; L.M.Perry) from the People's Republic of China) The Republic of Colombia hereby notifies the issuance of Resolution No. 18763 of 2024 establishing phytosanitary requirements for the importation into Colombia of dried cloves (Syzygium aromaticum (L.) Merr. &amp; L.M.Perry) from the People's Republic of China, which was published in Official Journal No. 52.960 of 4 December 2024 and entered into force the same day. https://www.ica.gov.co/getattachment/4bd1e629-d2b1-460d-b458-1e8c9d99e7d4/2024R00018763.aspx https://members.wto.org/crnattachments/2024/SPS/COL/24_08481_00_s.pdf</t>
  </si>
  <si>
    <t>Dried cloves (Syzygium aromaticum)</t>
  </si>
  <si>
    <t>0907 - Cloves, whole fruit, cloves and stems; 0907 - Cloves, whole fruit, cloves and stems</t>
  </si>
  <si>
    <t>Adoption/publication/entry into force of reg.; Plant health; Territory protection; Plant health; Territory protection</t>
  </si>
  <si>
    <d:r xmlns:d="http://schemas.openxmlformats.org/spreadsheetml/2006/main">
      <d:rPr>
        <d:sz val="11"/>
        <d:rFont val="Calibri"/>
      </d:rPr>
      <d:t xml:space="preserve">https://members.wto.org/crnattachments/2024/SPS/COL/24_08481_00_s.pdf
https://www.ica.gov.co/getattachment/4bd1e629-d2b1-460d-b458-1e8c9d99e7d4/2024R00018763.aspx</d:t>
    </d:r>
  </si>
  <si>
    <t xml:space="preserve">Addition of American Single Malt Whisky to the Standards of 
Identity for Distilled Spirits</t>
  </si>
  <si>
    <t xml:space="preserve">This final rule amends the Alcohol and Tobacco Tax and Trade Bureau (TTB) regulations that set forth the standards of identity for distilled spirits to include “American single malt whisky” as a type of whisky that is produced in the United States and meets certain criteria. TTB proposed the new standard of identity in response to petitions and comments submitted by several distillers and the American Single Malt Whisky Commission. TTB is finalizing the amendments to the regulations to establish the standard of identity with some changes to reflect comments received.This final rule is effective 19 January 2025. _x000D_
89 Federal Register (FR) 102726, 18 December 2024; Title 27 Code of Federal Regulations (CFR) Part 5_x000D_
https://www.govinfo.gov/content/pkg/FR-2024-12-18/html/2024-29938.htm_x000D_
https://www.govinfo.gov/content/pkg/FR-2024-12-18/pdf/2024-29938.pdfThis final rule and the proposed rule notified as G/TBT/N/USA/1905 are identified by Docket Number TTB-2022-0007. The Docket Folder is available on Regulations.gov at https://www.regulations.gov/docket/TTB-2022-0007/document and provides access to primary and supporting documents as well as comments received. Documents are also accessible from Regulations.gov by searching the Docket Number. </t>
  </si>
  <si>
    <t>American single malt whisky; Beer made from malt. (HS code(s): 2203); - Whiskies (HS code(s): 220830); Alcoholic beverages (ICS code(s): 67.160.10)</t>
  </si>
  <si>
    <t>2203 - Beer made from malt; 220830 - Whiskies; 220830 - Whiskies; 2203 - Beer made from malt</t>
  </si>
  <si>
    <t>67.160.10 - Alcoholic beverages; 67.160.10 - Alcoholic beverages</t>
  </si>
  <si>
    <d:r xmlns:d="http://schemas.openxmlformats.org/spreadsheetml/2006/main">
      <d:rPr>
        <d:sz val="11"/>
        <d:rFont val="Calibri"/>
      </d:rPr>
      <d:t xml:space="preserve">https://members.wto.org/crnattachments/2024/TBT/USA/final_measure/24_08487_00_e.pdf</d:t>
    </d:r>
  </si>
  <si>
    <t>Carbon Tetrachloride (CTC); Regulation Under the Toxic Substances Control Act (TSCA)</t>
  </si>
  <si>
    <t xml:space="preserve">The Environmental Protection Agency (EPA or “Agency”) is finalizing a rule to address the unreasonable risk of injury to health presented by carbon tetrachloride (CTC) under its conditions of use. The Toxic Substances Control Act (TSCA) requires that EPA address by rule any unreasonable risk of injury to health or the environment identified in a TSCA risk evaluation and apply requirements to the extent necessary so that the chemical no longer presents unreasonable risk. EPA's final rule will establish workplace safety requirements for most conditions of use, including the condition of use related to the making of low Global Warming Potential (GWP) hydrofluoroolefins (HFOs); prohibit the manufacture (including import), processing, distribution in commerce, and industrial/commercial use of CTC for conditions of use where information indicates use of CTC has ceased; and establish recordkeeping and downstream notification requirements. The use of CTC in low GWP HFOs is particularly important in the Agency's efforts to support the American Innovation and Manufacturing Act of 2020 (AIM Act) and the Kigali Amendment to the Montreal Protocol on Substances that Deplete the Ozone Layer, which was ratified on 26 October 2022.This final rule is effective on 17 January 2025.89 Federal Register (FR) 103512, 18 December 2024; Title 40 Code of Federal Regulations (CFR) Part 751_x000D_
https://www.govinfo.gov/content/pkg/FR-2024-12-18/html/2024-29517.htm_x000D_
https://www.govinfo.gov/content/pkg/FR-2024-12-18/pdf/2024-29517.pdf_x000D_
This final rule and the proposed rule notified as G/TBT/N/USA/2024 is identified by Docket Number EPA-HQ-OPPT-2020-0592. The Docket Folder is available from Regulations.gov at https://www.regulations.gov/docket/EPA-HQ-OPPT-2020-0592/document and provides access to primary and supporting documents as well as comments received. Documents are also accessible from Regulations.gov by searching the Docket Number._x000D_
</t>
  </si>
  <si>
    <t>Carbon Tetrachloride; Environmental protection (ICS code(s): 13.020); Production in the chemical industry (ICS code(s): 71.020); Products of the chemical industry (ICS code(s): 71.100)</t>
  </si>
  <si>
    <t>D06. Treaties</t>
  </si>
  <si>
    <d:r xmlns:d="http://schemas.openxmlformats.org/spreadsheetml/2006/main">
      <d:rPr>
        <d:sz val="11"/>
        <d:rFont val="Calibri"/>
      </d:rPr>
      <d:t xml:space="preserve">https://members.wto.org/crnattachments/2024/TBT/USA/final_measure/24_08488_00_e.pdf</d:t>
    </d:r>
  </si>
  <si>
    <t>Proyecto de resolución "Por medio de la cual se establecen los requisitos sanitarios para la importación a Colombia de Suplemento alimenticio para lechones (Lactoreemplazador) procedente de Dinamarca" (Draft Resolution establishing phytosanitary requirements for the importation into Colombia of dietary supplement for piglets (milk substitute) from Denmark)</t>
  </si>
  <si>
    <t>The notified draft Resolution establishes the sanitary requirements for the importation into Colombia of dietary supplement for piglets (milk substitute) from Denmark. These provisions will apply to all natural or legal persons that import into Colombia dietary supplement for piglets (milk substitute) from Denmark.</t>
  </si>
  <si>
    <t>Dietary supplement for piglets (milk substitute)</t>
  </si>
  <si>
    <t>230990 - Preparations of a kind used in animal feeding (excl. dog or cat food put up for retail sale)</t>
  </si>
  <si>
    <t>Animal health; Animal diseases; Pest- or Disease- free Regions / Regionalization</t>
  </si>
  <si>
    <t>Denmark</t>
  </si>
  <si>
    <d:r xmlns:d="http://schemas.openxmlformats.org/spreadsheetml/2006/main">
      <d:rPr>
        <d:sz val="11"/>
        <d:rFont val="Calibri"/>
      </d:rPr>
      <d:t xml:space="preserve">https://members.wto.org/crnattachments/2024/SPS/COL/24_08504_00_s.pdf
https://www.sucop.gov.co/entidades/ica/Normativa?IDNorma=19731</d:t>
    </d:r>
  </si>
  <si>
    <t>Requisitos fitosanitarios para la importación de semillas de maíz (Zea mays) destino propagación, provenientes de China, hacia la República Argentina (Phytosanitary requirements for the importation into the Argentine Republic of maize (Zea mays) seeds for propagation from China)</t>
  </si>
  <si>
    <t>The notified document establishes phytosanitary requirements for the importation into the Argentine Republic of maize (Zea mays) seeds for propagation from China.</t>
  </si>
  <si>
    <t>Maize (Zea mays) seeds for propagation</t>
  </si>
  <si>
    <t>100510 - Maize seed for sowing</t>
  </si>
  <si>
    <d:r xmlns:d="http://schemas.openxmlformats.org/spreadsheetml/2006/main">
      <d:rPr>
        <d:sz val="11"/>
        <d:rFont val="Calibri"/>
      </d:rPr>
      <d:t xml:space="preserve">https://members.wto.org/crnattachments/2024/SPS/ARG/24_08503_00_e.pdf
https://members.wto.org/crnattachments/2024/SPS/ARG/24_08503_00_s.pdf</d:t>
    </d:r>
  </si>
  <si>
    <t>Resolución 18766 de 2024 "Por medio de la cual se establecen los requisitos fitosanitarios para la importación a Colombia de plantas de barbas de viejo (Tillandsia usneoides [L.] L.) originarias de la República Federativa de Brasil" (Resolution No. 18766 of 2024 establishing phytosanitary requirements for the importation into Colombia of Spanish moss (Tillandsia usneoides L.) originating in the Federative Republic of Brazil) The Republic of Colombia hereby advises that it has issued Resolution No. 18766 of 4 December 2024 establishing phytosanitary requirements for the importation into Colombia of Spanish moss (Tillandsia usneoides L.) originating in the Federative Republic of Brazil, which was published in Official Journal No. 52.969 of 13 December 2024 and entered into force the same day. https://www.ica.gov.co/getattachment/a2eda940-d5df-453c-9239-11adf3da72ae/2024R00018766.aspx https://members.wto.org/crnattachments/2024/SPS/COL/24_08483_00_s.pdf</t>
  </si>
  <si>
    <t>Spanish moss (Tillandsia usneoides L.)</t>
  </si>
  <si>
    <t>060290 - Live plants, incl. their roots, and mushroom spawn (excl. bulbs, tubers, tuberous roots, corms, crowns and rhizomes, incl. chicory plants and roots, unrooted cuttings and slips, fruit and nut trees, rhododendrons, azaleas and roses); 060290 - Live plants, incl. their roots, and mushroom spawn (excl. bulbs, tubers, tuberous roots, corms, crowns and rhizomes, incl. chicory plants and roots, unrooted cuttings and slips, fruit and nut trees, rhododendrons, azaleas and roses)</t>
  </si>
  <si>
    <d:r xmlns:d="http://schemas.openxmlformats.org/spreadsheetml/2006/main">
      <d:rPr>
        <d:sz val="11"/>
        <d:rFont val="Calibri"/>
      </d:rPr>
      <d:t xml:space="preserve">https://members.wto.org/crnattachments/2024/SPS/COL/24_08483_00_s.pdf
https://www.ica.gov.co/getattachment/a2eda940-d5df-453c-9239-11adf3da72ae/2024R00018766.aspx</d:t>
    </d:r>
  </si>
  <si>
    <t>Resolución 18765 de 2024 "Por medio de la cual se establecen los requisitos fitosanitarios para la importación a Colombia de plantas de coralito (Kalanchoe) de origen y procedencia Estados Unidos" (Resolution No. 18765 of 2024 establishing phytosanitary requirements for the importation into Colombia of flaming katy (Kalanchoe) plants originating in and coming from the United States) The Republic of Colombia hereby advises that it has issued Resolution No. 18765 of 4 December 2024 establishing phytosanitary requirements for the importation into Colombia of flaming katy (Kalanchoe) plants originating in and coming from the United States, which was published in Official Journal No. 52.960 of 4 December 2024 and entered into force the same day. https://www.ica.gov.co/getattachment/f3e2b5d0-3977-4ff6-9cc3-d0a0796d0439/2024R00018765.aspx https://members.wto.org/crnattachments/2024/SPS/COL/24_08482_00_s.pdf</t>
  </si>
  <si>
    <t>Flaming katy (Kalanchoe) plants</t>
  </si>
  <si>
    <t>Adoption/publication/entry into force of reg.; Plant health; Territory protection; Territory protection; Plant health</t>
  </si>
  <si>
    <d:r xmlns:d="http://schemas.openxmlformats.org/spreadsheetml/2006/main">
      <d:rPr>
        <d:sz val="11"/>
        <d:rFont val="Calibri"/>
      </d:rPr>
      <d:t xml:space="preserve">https://members.wto.org/crnattachments/2024/SPS/COL/24_08482_00_s.pdf
https://www.ica.gov.co/getattachment/f3e2b5d0-3977-4ff6-9cc3-d0a0796d0439/2024R00018765.aspx</d:t>
    </d:r>
  </si>
  <si>
    <t>Modifica resolución N° 4.933 de 2021 que, aprueba texto coordinado y sistematizado de las Resoluciones que establecieron requisitos fitosanitarios para la internación de maderas aserradas secas en horno, de un espesor superior a 6 mm. y regulaciones cuarentenarias para la internación de maderas aserradas y en trozas, agrega sin uso y usadas y actualiza tratamientos (Amends Resolution No. 4.933 of 2021 approving the coordinated and consolidated text of the Resolutions establishing phytosanitary requirements for the importation of kiln-dried sawn timber, of a thickness exceeding 6 mm, and quarantine regulations for the importation of sawn timber and logs, adding unused and used sawn timber and updating treatments)</t>
  </si>
  <si>
    <t>The notified Amendment replaces Article 4.2 of Resolution No. 4.933 of 2021 with the following text: 4.2 The following will be accepted as an alternative Additional Declaration: 4.2.1. The pest/s is/are not present in the country of origin. In order to comply with this Additional Declaration, the country of origin shall maintain supporting evidence and pest records, used as a basis for determining the country's pest-free status, taking into account that these records may be requested by the Service. or 4.2.2. The consignment originates from a pest free area, officially recognized by the Service by means of an exempt resolution (indicate number and year). Further details can be found in the document attached to this notification.</t>
  </si>
  <si>
    <t>Kiln-dried sawn timber</t>
  </si>
  <si>
    <d:r xmlns:d="http://schemas.openxmlformats.org/spreadsheetml/2006/main">
      <d:rPr>
        <d:sz val="11"/>
        <d:rFont val="Calibri"/>
      </d:rPr>
      <d:t xml:space="preserve">https://members.wto.org/crnattachments/2024/SPS/CHL/24_08479_00_s.pdf
https://members.wto.org/crnattachments/2024/SPS/CHL/24_08479_01_s.pdf</d:t>
    </d:r>
  </si>
  <si>
    <t>Online Consultation: Raising Product Standards for Space Heating Updating ecodesign and energy Labelling for hydronic Space and combination heaters.</t>
  </si>
  <si>
    <t>Alerting Members to a UK Government consultation regarding proposals to update and improve ecodesign and energy labelling requirements for space heaters and combination heaters (delivering both space and water heating) in Great Britain.The aim of these proposals is to increase the efficiency of space heaters, thereby reducing both carbon emissions and consumer bills, along with driving efficiency within the space heater market and increasing consumer clarity when choosing products.</t>
  </si>
  <si>
    <t>8402 Steam or other vapour generating boilers (other than hot water boilers capable of also producing low pressure steam; superheated water boilers - steam or other vapour generating boilers 8403 Central heating boilers other than those of heading 84028415 Air-conditioning machines, comprising a motor-driven fan and elements for changing the temperature and humidity, including those machines in which the humidity cannot be separately regulated8418 Refrigerators, freezers and other refrigerating or freezing equipment, electric or other; heat pumps other than air conditioning machines of heading 8415</t>
  </si>
  <si>
    <t>8402 - Steam or other vapour generating boilers (excl. central heating hot water boilers capable also of producing low pressure steam); superheated water boilers; parts thereof; 8403 - Central heating boilers, non-electric; parts thereof (excl. vapour generating boilers and superheated water boilers of heading 8402); 8415 - Air conditioning machines comprising a motor-driven fan and elements for changing the temperature and humidity, incl. those machines in which the humidity cannot be separately regulated; parts thereof; 8418 - Refrigerators, freezers and other refrigerating or freezing equipment, electric or other; heat pumps; parts thereof (excl. air conditioning machines of heading 8415)</t>
  </si>
  <si>
    <t>97.100 - Domestic, commercial and industrial heating appliances</t>
  </si>
  <si>
    <t>Consumer information, labelling (TBT)</t>
  </si>
  <si>
    <d:r xmlns:d="http://schemas.openxmlformats.org/spreadsheetml/2006/main">
      <d:rPr>
        <d:sz val="11"/>
        <d:rFont val="Calibri"/>
      </d:rPr>
      <d:t xml:space="preserve">https://members.wto.org/crnattachments/2024/TBT/GBR/24_08476_00_e.pdf
https://members.wto.org/crnattachments/2024/TBT/GBR/24_08476_01_e.pdf
https://members.wto.org/crnattachments/2024/TBT/GBR/24_08476_02_e.pdf</d:t>
    </d:r>
  </si>
  <si>
    <t>Amendments to the Official Controls (Plant Health) (Frequency of Checks) Regulations 2022 and introducing legislative amendments to ensure existing controls for animals and animal products continue to operate effectively at the border </t>
  </si>
  <si>
    <t>The following amendment is being made to England, Scotland, and Wales (Great Britain)the Official Controls (Plant Health) (Frequency of Checks) Regulations 2022. Currently, risk-based documentary checks are carried out on medium risk plants, plant products, and other related objects from EU Member States, Switzerland and Liechtenstein. This approach is to be extended to include medium risk plants, plant products and other objects from all countries to help facilitate trade.  The methodology for determining the risk factor of these goods is contained in The Official Controls (Plant Health) (Frequency of Checks) Regulations 2022. Frequencies of documentary checks will be published online and will align with the corresponding physical and ID check rates. More information can be found at this link -  Frequency of plant health import inspections across GB - UK Plant Health Information PortalAdditionally, we are seeking to introduce legislation relating to animals and animal products to remove country/commodity risk categories and check rate frequencies from the statute book and move them to the GOV.UK website to allow changes to be made administratively, in response to changing risk status. Changes to risk categories and check rates will be based on a range of animal and public health data sources. This approach allows an appropriately responsive implementation of risk mitigations to address changing sanitary risks and hazards. WTO Members will be notified of any changes to risk categories and check rates in line with our transparency obligations.More information on import risk categories and inspection rates can be found at the links below:  Import risk categories and inspection rates for animal and animal product imports from the EU to GB: summary tables - GOV.UKImport risk categories and inspection rates for animal and animal product imports from non-EU countries to GB: summary tables - GOV.UK</t>
  </si>
  <si>
    <t>All plants, plant products and specified other objects assessed as medium risk. Animals and animal products. </t>
  </si>
  <si>
    <t>Food safety (SPS); Animal health (SPS); Plant protection (SPS); Protect humans from animal/plant pest or disease (SPS); Protect territory from other damage from pests (SPS)</t>
  </si>
  <si>
    <t>Human health; Animal health; Plant health; Food safety; Territory protection; Animal diseases</t>
  </si>
  <si>
    <d:r xmlns:d="http://schemas.openxmlformats.org/spreadsheetml/2006/main">
      <d:rPr>
        <d:sz val="11"/>
        <d:rFont val="Calibri"/>
      </d:rPr>
      <d:t xml:space="preserve">https://members.wto.org/crnattachments/2024/SPS/GBR/24_08502_00_e.pdf</d:t>
    </d:r>
  </si>
  <si>
    <t>Commission Implementing Regulation (EU) 2024/3153 of 18 December 2024 amending Implementing Regulation (EU) 2019/1793 on the temporary increase of official controls and emergency measures governing the entry into the Union of certain goods from certain third countries implementing Regulations (EU) 2017/625 and (EC) No 178/2002 of the European Parliament and of the Council (Text with EEA relevance)</t>
  </si>
  <si>
    <t>Regulation (EU) 2019/1793 lays down rules concerning the temporary increase of official controls upon entry into the Union on certain food and feed of non-animal origin from certain third countries (in Annex I); special import conditions for certain food and feed from certain third countries due to the contamination risk by mycotoxins, including aflatoxins, pesticide residues, pentachlorophenol and dioxins and microbiological contamination (in Annex II - increased official border controls and official certificate accompanied by the results of sampling and analysis in the third country). This Implementing Regulation amends Annexes I and II to Implementing Regulation (EU) 2019/1793 by introducing the following changes:Inclusion in Annex I of zara lemons (Citrus medica) from Bangladesh due to risk of contamination by pesticide residues;Delisting from Annex I (and thus, from the Regulation) of yardlong beans from the Dominican Republic;Decrease in the frequency of identity and physical checks laid down in Annex I for oranges from Egypt (pesticide residues from: 30% to20%);Increase in the frequency of identity and physical checks laid down in Annex I for the following commodities cumin seeds from India (pesticide residues: from 20% to 30%), okra from India (ethylene oxide: from 20% to 30%), blacked eyed beans from Madagascar (pesticide residues: from 30% to 50%), peppers (other than sweet) from Rwanda (pesticide residues: from 20% to 30%), dried oregano from Türkiye (pyrrolizidine alkaloids: from 20% to 30%) and durians from Vietnam (pesticide residues: from 10% to 20%);Removal from Annex I and inclusion in Annex II of cumin from Türkiye (pyrrolizidine alkaloids 30%);Removal from Annex II and inclusion in Annex I of the following commodities sesamum seeds from Ethiopia (Salmonella: 50%), turnips from Lebanon (Rhodamine B: 50%) and peppers from Sri Lanka (aflatoxins: 50%);Decrease in the frequency of identity and physical checks laid down in Annex II for sesamum seeds from India (ethylene oxide: from 30% to 20%) and for food supplements containing botanicals from Indiaethylene oxide: from 20% to 10%).</t>
  </si>
  <si>
    <t>Multiple commodities</t>
  </si>
  <si>
    <d:r xmlns:d="http://schemas.openxmlformats.org/spreadsheetml/2006/main">
      <d:rPr>
        <d:sz val="11"/>
        <d:rFont val="Calibri"/>
      </d:rPr>
      <d:t xml:space="preserve">https://members.wto.org/crnattachments/2024/SPS/EEC/24_08495_00_e.pdf
https://members.wto.org/crnattachments/2024/SPS/EEC/24_08495_00_f.pdf
https://members.wto.org/crnattachments/2024/SPS/EEC/24_08495_00_s.pdf</d:t>
    </d:r>
  </si>
  <si>
    <t xml:space="preserve">Updates to New Chemicals Regulations Under the Toxic Substances 
Control Act (TSCA)</t>
  </si>
  <si>
    <t xml:space="preserve">The Environmental Protection Agency (EPA or the Agency) is amending the new chemicals procedural regulations under the Toxic Substances Control Act (TSCA). These amendments align the regulatory text with the amendments to TSCA's new chemicals review provisions contained in the Frank R. Lautenberg Chemical Safety for the 21st Century Act, enacted on 22 June 2016, will improve the efficiency of EPA's review processes, and update the regulations based on existing policies and experience implementing the New Chemicals Program. This final rule includes amendments that will increase the quality of information initially submitted in new chemicals notices and improve the Agency's processes for timely, effective completion of individual risk assessments and the new chemicals review process overall. EPA is also finalizing several amendments to the regulations for low volume exemptions (LVEs) and low release and exposure exemptions (LoREXs), which will require EPA approval of an exemption notice prior to commencement of manufacture, make per- and polyfluoroalkyl substances (PFAS) categorically ineligible for these exemptions, and provide that certain persistent, bioaccumulative, toxic (PBT) chemical substances are ineligible for these exemptions.This final rule is effective 17 January 2025.89 Federal Register (FR) 102773, 18 December 2024; Title 40 Code of Federal Regulations (CFR) Parts 68372703720721723725, and 761_x000D_
https://www.govinfo.gov/content/pkg/FR-2024-12-18/html/2024-28870.htm_x000D_
https://www.govinfo.gov/content/pkg/FR-2024-12-18/pdf/2024-28870.pdfThis action and previous actions notified under the symbol G/TBT/N/USA/2005 are identified by Docket Number EPA-HQ-OPPT-2022-0902. The Docket Folder is available on Regulations.gov at https://www.regulations.gov/docket/EPA-HQ-OPPT-2022-0902/document and provides access to primary and supporting documents as well as comments received. Documents are also accessible from Regulations.gov by searching the Docket Number. </t>
  </si>
  <si>
    <t>Toxic chemical substances; Environmental protection (ICS code(s): 13.020); Production in the chemical industry (ICS code(s): 71.020); Products of the chemical industry (ICS code(s): 71.100)</t>
  </si>
  <si>
    <t>Protection of the environment (TBT); Cost saving and productivity enhancement (TBT)</t>
  </si>
  <si>
    <d:r xmlns:d="http://schemas.openxmlformats.org/spreadsheetml/2006/main">
      <d:rPr>
        <d:sz val="11"/>
        <d:rFont val="Calibri"/>
      </d:rPr>
      <d:t xml:space="preserve">https://members.wto.org/crnattachments/2024/TBT/USA/final_measure/24_08490_00_e.pdf</d:t>
    </d:r>
  </si>
  <si>
    <t>Draft resolution 1301, 16 December 2024</t>
  </si>
  <si>
    <t>This Draft Resolution proposes Good Operating Practices for dental care services.</t>
  </si>
  <si>
    <t>PHARMACEUTICAL PRODUCTS (HS code(s): 30); Dentistry (ICS code(s): 11.060)</t>
  </si>
  <si>
    <t>30 - PHARMACEUTICAL PRODUCTS</t>
  </si>
  <si>
    <t>11.060 - Dentistry</t>
  </si>
  <si>
    <d:r xmlns:d="http://schemas.openxmlformats.org/spreadsheetml/2006/main">
      <d:rPr>
        <d:sz val="11"/>
        <d:rFont val="Calibri"/>
      </d:rPr>
      <d:t xml:space="preserve">https://members.wto.org/crnattachments/2024/TBT/BRA/24_08486_00_x.pdf</d:t>
    </d:r>
  </si>
  <si>
    <t>Resolución 18158 de 2024 "Por medio de la cual se establecen los requisitos fitosanitarios para la importación a Colombia de semillas de tijuna (Setaria sphacelata) de origen y procedencia de la República Federativa de Brasil" (Resolution No. 18158 of 2024 establishing phytosanitary requirements for the importation into Colombia of South African pigeon grass (Setaria sphacelata) seeds originating in and coming from the Federative Republic of Brazil) The Republic of Colombia hereby advises that it has issued Resolution No. 18158 of 27 November 2024 establishing phytosanitary requirements for the importation into Colombia of South African pigeon grass (Setaria sphacelata) seeds originating in and coming from the Federative Republic of Brazil, which was published in Official Journal No. 52.953 of 27 November 2024 and entered into force the same day. https://www.ica.gov.co/getattachment/b2a2d258-d238-43ff-939e-a82b8561cc8a/2024R00018158.aspx https://members.wto.org/crnattachments/2024/SPS/COL/24_08484_00_s.pdf</t>
  </si>
  <si>
    <t>South African pigeon grass (Setaria sphacelata) seeds</t>
  </si>
  <si>
    <t>Territory protection; Plant health; Adoption/publication/entry into force of reg.; Territory protection; Plant health</t>
  </si>
  <si>
    <d:r xmlns:d="http://schemas.openxmlformats.org/spreadsheetml/2006/main">
      <d:rPr>
        <d:sz val="11"/>
        <d:rFont val="Calibri"/>
      </d:rPr>
      <d:t xml:space="preserve">https://members.wto.org/crnattachments/2024/SPS/COL/24_08484_00_s.pdf
https://www.ica.gov.co/getattachment/b2a2d258-d238-43ff-939e-a82b8561cc8a/2024R00018158.aspx</d:t>
    </d:r>
  </si>
  <si>
    <t>Draft Commission Implementing Regulation amending Implementing Regulation (EU) 2019/627 laying down uniform practical arrangements for the performance of official controls on products of animal origin intended for human consumption in accordance with Regulation (EU) 2017/625 of the European Parliament and of the Council (Text with EEA relevance)</t>
  </si>
  <si>
    <t>Commission Implementing Regulation (EU) 2019/627 lays down uniform practical arrangements for the performance of official controls on products of animal origin intended for human consumption. The draft proposes more risk-based post-mortem arrangements in slaughterhouses, amends the health mark, introduces verification of food chain information in case of ungulates and ratites slaughtered outside the slaughterhouse and aligns references to animal health law.</t>
  </si>
  <si>
    <t>Products of animal origin intended for human consumption</t>
  </si>
  <si>
    <d:r xmlns:d="http://schemas.openxmlformats.org/spreadsheetml/2006/main">
      <d:rPr>
        <d:sz val="11"/>
        <d:rFont val="Calibri"/>
      </d:rPr>
      <d:t xml:space="preserve">https://members.wto.org/crnattachments/2024/SPS/EEC/24_08460_00_e.pdf</d:t>
    </d:r>
  </si>
  <si>
    <t>Mexico</t>
  </si>
  <si>
    <t>Phytosanitary requirements governing the importation into Mexico of stolons of zoysia grass (Zoysia spp.) originating in and coming from the United States of America The final phytosanitary requirements for the importation into Mexico of stolons of zoysia grass (Zoysia spp.), originating in and coming from the United States of America, are hereby notified. The final measure can be viewed using combination key (clave de combinación) 2232-131-4618-USA-USA at: https://sistemasssl.senasica.gob.mx/mcrfi/ConsultaCatalogos.xhtml https://members.wto.org/crnattachments/2024/SPS/MEX/24_08472_00_s.pdf</t>
  </si>
  <si>
    <t>Stolons of zoysia grass (Zoysia spp.)</t>
  </si>
  <si>
    <t>Human health; Plant health; Pests; Territory protection; Adoption/publication/entry into force of reg.; Pests; Territory protection; Plant health; Human health</t>
  </si>
  <si>
    <d:r xmlns:d="http://schemas.openxmlformats.org/spreadsheetml/2006/main">
      <d:rPr>
        <d:sz val="11"/>
        <d:rFont val="Calibri"/>
      </d:rPr>
      <d:t xml:space="preserve">https://members.wto.org/crnattachments/2024/SPS/MEX/24_08472_00_s.pdf
La medida definitiva puede consultarse bajo la clave de combinación 2232-131-4618-USA-USA en el siguiente enlace: https://sistemasssl.senasica.gob.mx/mcrfi/ConsultaCatalogos.xhtml</d:t>
    </d:r>
  </si>
  <si>
    <t>The Environmental Protection (Single-use Vapes) (Wales) Regulations 2024</t>
  </si>
  <si>
    <t>The Environmental Protection (Single-use Vapes) (Wales) Regulations 2024These regulations will introduce a ban on the supply of single-use electronic  cigarettes  in Wales.  These  regulations define  single-use  electronic cigarettes as devices that: are not rechargeable, not refillable or are neither rechargeable nor refillable, and vaporise substances  (other  than tobacco)  for  the purpose of  inhalation  through a mouthpiece.</t>
  </si>
  <si>
    <t>HS 24.04 Products containing tobacco, reconstituted tobacco, nicotine, or tobacco or nicotine substitutes, intended for inhalation without combustion; other nicotine containing products intended for the intake of nicotine into the human body – products intended for inhalation without combustion.• Nicotine-containing disposable electronic cigarettes (HS 2404.12 - Other, containing nicotine) • Non-nicotine containing disposable electronic cigarettes (HS 2404.19 – Other)</t>
  </si>
  <si>
    <t>2404 - Products containing tobacco, reconstituted tobacco, nicotine, or tobacco or nicotine substitutes, intended for inhalation without combustion; other nicotine containing products intended for the intake of nicotine into the human body; 240412 - Products containing nicotine, intended for inhalation without combustion (excl. containing tobacco or reconstituted tobacco); 240419 - Products containing tobacco or nicotine substitutes, intended for inhalation without combustion (excl. containing nicotine); 240412 - Products containing nicotine, intended for inhalation without combustion (excl. containing tobacco or reconstituted tobacco); 240419 - Products containing tobacco or nicotine substitutes, intended for inhalation without combustion (excl. containing nicotine); 2404 - Products containing tobacco, reconstituted tobacco, nicotine, or tobacco or nicotine substitutes, intended for inhalation without combustion; other nicotine containing products intended for the intake of nicotine into the human body</t>
  </si>
  <si>
    <t>65.160 - Tobacco, tobacco products and related equipment; 65.160 - Tobacco, tobacco products and related equipment</t>
  </si>
  <si>
    <d:r xmlns:d="http://schemas.openxmlformats.org/spreadsheetml/2006/main">
      <d:rPr>
        <d:sz val="11"/>
        <d:rFont val="Calibri"/>
      </d:rPr>
      <d:t xml:space="preserve">https://www.legislation.gov.uk/wsi/2024/1324/contents/made</d:t>
    </d:r>
  </si>
  <si>
    <t>Resolución No.00018761 del 04 de diciembre de 2024 "Por la cual se levanta la medida preventiva de emergencia por la presencia de la enfermedad de Newcastle en el Estado de Rio Grande do Sul de la República Federativa de Brasil" (Resolution No. 00018761 of 4 December 2024 lifting the emergency preventive measure that was established owing to the presence of Newcastle disease in the State of Rio Grande do Sul in the Federative Republic of Brazil) The Republic of Colombia hereby advises that it has issued Resolution No. 00018761 of 4 December 2024 lifting the preventive sanitary measure that was established owing to the presence of Newcastle disease in the State of Rio Grande do Sul in the Federative Republic of Brazil. The Resolution was published in Official Journal No. 52.960 of 4 December 2024 and entered into force the same day. It also repeals ICA Resolution No. 00009906 of 2024. https://www.ica.gov.co/getattachment/8ef79a83-fd4f-4811-b74e-d158a20996a2/2024R00018761.aspx https://members.wto.org/crnattachments/2024/SPS/COL/24_08478_00_s.pdf</t>
  </si>
  <si>
    <t>Live birds, their products and by-products</t>
  </si>
  <si>
    <t>Animal health (SPS); Protect humans from animal/plant pest or disease (SPS); Protect territory from other damage from pests (SPS)</t>
  </si>
  <si>
    <t>Human health; Animal health; Territory protection; Zoonoses; Animal diseases; Withdrawal of the measure; Zoonoses; Animal diseases; Territory protection; Animal health; Human health</t>
  </si>
  <si>
    <d:r xmlns:d="http://schemas.openxmlformats.org/spreadsheetml/2006/main">
      <d:rPr>
        <d:sz val="11"/>
        <d:rFont val="Calibri"/>
      </d:rPr>
      <d:t xml:space="preserve">https://members.wto.org/crnattachments/2024/SPS/COL/24_08478_00_s.pdf
https://www.ica.gov.co/getattachment/8ef79a83-fd4f-4811-b74e-d158a20996a2/2024R00018761.aspx</d:t>
    </d:r>
  </si>
  <si>
    <t>Regulations Amending the Food and Drug Regulations and the Medical Devices Regulations (Recalls, Establishment Licences and Finished Product Testing) </t>
  </si>
  <si>
    <t>The Proposed Regulations were notified to the WTO under G/TBT/N/CAN/694 (dated 19 April 2023).The objectives of these amendments are to strengthen Health Canada’s oversight of therapeutic products sold in Canada and to introduce additional risk-based measures and modern, flexible regulatory tools. These changes will strengthen Health Canada’s ability to provide efficient, effective and agile oversight of drugs and medical devices in a manner that is better aligned with international best practices.The regulations include targeted amendments to the Food and Drug Regulations (FDR) and Medical Devices Regulations (MDR). The amendments will: (i) clarify industry obligations when conducting recalls of therapeutic products; (ii) improve international alignment for voluntary recall requirements in the MDR; (iii) replace the outdated list of foreign regulatory authorities in the table in C.01A.019 in the FDR; (iv) offer conditional exemptions to industry from performing aspects of finished product testing for certain novel and complex biologics and radiopharmaceuticals in the FDR; and (v) modernize establishment licence application requirements and introduce authorities for the Minister to impose terms and conditions on an establishment licence in the MDR to enable targeted compliance and enforcement actions.</t>
  </si>
  <si>
    <t>Drugs and medical devices (ICS codes: 11.120, 11.040)</t>
  </si>
  <si>
    <d:r xmlns:d="http://schemas.openxmlformats.org/spreadsheetml/2006/main">
      <d:rPr>
        <d:sz val="11"/>
        <d:rFont val="Calibri"/>
      </d:rPr>
      <d:t xml:space="preserve">Canada Gazette
 Part II
 July 3
 2024
 pages 2686-2761 (available in English and French)
https://canadagazette.gc.ca/rp-pr/p2/2024/2024-07-03/html/sor-dors136-eng.html 
https://canadagazette.gc.ca/rp-pr/p2/2024/2024-07-03/html/sor-dors136-fra.html 
https://canadagazette.gc.ca/rp-pr/p2/2024/2024-07-03/pdf/g2-15814.pdf#page=327</d:t>
    </d:r>
  </si>
  <si>
    <t>Draft of the Egyptian standard ES 182-4 "polyvinyl chloride insulated cables of rated voltages up to and including 450 / 750 v  part 4 : sheathed cables for fixed wiring"</t>
  </si>
  <si>
    <t xml:space="preserve">Products covered: ICS: 29.060.20 (Cables) This addendum concerns the notification of the draft of the Egyptian standard ES 182-4 “polyvinyl chloride insulated cables of rated voltages up to 450/750 v part 4- sheathed cables for fixed wiring "(13 pages in Arabic).It should be noted that the Ministerial Decree No. 423/2005 (12 pages, in Arabic) which was formerly notified in G/TBT/N/EGY/3 dated 14 December 2005 mandated among others the earlier versions of this Standard.Worth mentioning is that this draft standard is technically identical to IEC 60227-4 /2024Producers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from:Egyptian Organization for Standardization and Quality_x000D_
16 Tadreeb El-Modarrebeen St., Ameriya, Cairo – Egypt_x000D_
E-mail: eos@eos.org.egeos.tbt@eos.org.eg_x000D_
Website: http://www.eos.org.eg_x000D_
Tel.: + (202) 22845528 _x000D_
Fax: + (202) 22845504 </t>
  </si>
  <si>
    <t>Chemical, textile and engineering products</t>
  </si>
  <si>
    <t>29.060.20 - Cables; 91.100 - Construction materials</t>
  </si>
  <si>
    <t>Updates to medicine labelling rules: Public consultation on proposed changes to TGO 91 and TGO 92 to support medicine safety </t>
  </si>
  <si>
    <t>Therapeutic Goods (Therapeutic Goods Order No. 91 - Standard for labels of prescription and related medicines) Amendment Order 2024 was registered on the Federal Register of Legislation on 6 December 2024. It amends Therapeutic Goods Order No. 91 - Standard for labels of prescription and related medicines (TGO 91) to introduce new requirements for injectable medicines intended for electrolyte replacement.The Therapeutic Goods Administration (TGA) made these changes to help make quantities of active ingredients clearer on labels and in units important to health professionals.Medicines imported into Australia or released for supply from 1 December 2026 must comply with the updated requirements. For injectable medicines intended for electrolyte replacement (with a volume of 100 mL or less):The label must express potassium chloride quantity in millimoles on the label. Labels must also include the quantity of potassium chloride in weight except in certain circumstances.The label must continue to express the quantity of other active ingredients in weight. It must also include the quantity in millimoles of each ingredient.More information about complying with the new requirements is in Labelling medicines to comply with TGO 91 and TGO 92Only one of the three notified measures included in the original notification has been adopted at the time of this addendum. However, we have updated the package insert template and guidance to give more clarity to medicine sponsors about providing instructions for preparation. Read more about the results of the public consultation on Updates to Australian medicine labelling rules to support medicine safety</t>
  </si>
  <si>
    <t>Medicines</t>
  </si>
  <si>
    <t>30 - PHARMACEUTICAL PRODUCTS; 30 - PHARMACEUTICAL PRODUCTS</t>
  </si>
  <si>
    <t>Consumer information, labelling (TBT); Protection of human health or safety (TBT)</t>
  </si>
  <si>
    <t>Labelling; Labelling</t>
  </si>
  <si>
    <d:r xmlns:d="http://schemas.openxmlformats.org/spreadsheetml/2006/main">
      <d:rPr>
        <d:sz val="11"/>
        <d:rFont val="Calibri"/>
      </d:rPr>
      <d:t xml:space="preserve">https://www.legislation.gov.au/F2016L01285/latest/versions
https://www.tga.gov.au/resources/guidance/labelling-medicines-comply-tgo-91-and-tgo-92</d:t>
    </d:r>
  </si>
  <si>
    <t>Partial revision of Regulation for Radio Equipment etc.</t>
  </si>
  <si>
    <t>Amendment to the regulation for the WLAN System (5.2GHz band).</t>
  </si>
  <si>
    <t>Wireless LAN (WLAN) System (5.2GHz band) </t>
  </si>
  <si>
    <t>33.060 - Radiocommunications</t>
  </si>
  <si>
    <d:r xmlns:d="http://schemas.openxmlformats.org/spreadsheetml/2006/main">
      <d:rPr>
        <d:sz val="11"/>
        <d:rFont val="Calibri"/>
      </d:rPr>
      <d:t xml:space="preserve">https://members.wto.org/crnattachments/2024/TBT/JPN/24_08470_00_e.pdf</d:t>
    </d:r>
  </si>
  <si>
    <t>Amendments to Commission Implementing Regulation (EU) 2019/2072 </t>
  </si>
  <si>
    <t>The following amendments are being made to England, Scotland, and Wales (Great Britain) assimilated (Commission Implementing Regulation (EU) 2019/2072):  The addition of Neodiprion abietis to the Quarantine Pest list.  The addition of Pseudomonas avellanae to the Quarantine Pest list, including the need to meet the associated import requirements. The removal of the pest Tobacco ringspot virus from the Quarantine Pest list, instead adding it to the Regulated Non-Quarantine Pest list with specified host plants for planting. An update to the plants regulated in relation to the Regulated Non-Quarantine Pest Tomato ringspot virus. An update to the plants regulated in relation to the Quarantine Pest Agrilus planipennisThe extension of certain import requirements to cover all conifer plants due to taxonomy changes. Add Pochazia shantungensis as a GB provisional quarantine pest. Consequential amendments to Annex 11 to ensure that regulated commodities are pre-notified and inspected at a rate higher than 1%. More information on the measures can be found in the attached Q&amp;A in section 9.</t>
  </si>
  <si>
    <t>-Certain plants for planting (of Corylus avellanaGlycine max, Vaccinium, Vitis, Rubus, Malus, Prunus and Pelargonium- Wood, bark, and plants, other than fruit and seeds, of Juglans ailantifolia, J. mandshurica, Pterocarya rhoifolia and Chionanthus virginicus. Plants, other than fruit and seeds, of Pinopsida. - Parts of plants, other than fruit and seeds, of Acer, Aesculus, Arbutus menziesii, Betula, Carpinus, Carya illinoinensis, Ceanothus, Cercis, Cercocarpus montanus, Cornus, Corylus, Crataegus, Eriobotrya japonica, Fagus sylvatica, Ficus carica, Frangula californica, Heteromeles arbutifolia, Juglans, Malus, Ostrya virginiana, Pickeringia montana, Platanus, Populus, Prunus, Pyrus, Quercus, Ribes, Rosa, Salix, Sorbus aucuparia, Tilia, Ulmus, and Vaccinium.</t>
  </si>
  <si>
    <t>Plant health; Territory protection; Pests</t>
  </si>
  <si>
    <d:r xmlns:d="http://schemas.openxmlformats.org/spreadsheetml/2006/main">
      <d:rPr>
        <d:sz val="11"/>
        <d:rFont val="Calibri"/>
      </d:rPr>
      <d:t xml:space="preserve">https://members.wto.org/crnattachments/2024/SPS/GBR/24_08473_00_e.pdf
https://members.wto.org/crnattachments/2024/SPS/GBR/24_08473_01_e.pdf</d:t>
    </d:r>
  </si>
  <si>
    <t>Letter of the Committee for Veterinary Control and Surveillance of the Ministry of Agriculture of Kazakhstan on lifting the temporary restrictions on the importation into the territory of Kazakhstan in connection with the improvement of the epizootic situation for highly pathogenic avian influenza from Hungary of live poultry and hatching eggs, down and feathers, poultry meat and all types of poultry products that have not undergone heat treatment (at least 70 °C), feed and feed additives for birds (except for feed additives of plant origin, chemical and microbiological synthesis), hunting trophies that have not undergone taxidermy treatment (feathered game), as well as used equipment for keeping, slaughtering and cutting birds</t>
  </si>
  <si>
    <t>Kazakhstan notified in G/SPS/N/KAZ/167 (19 February 2024) the Letters of the Committee for Veterinary Control and Surveillance of the Ministry of Agriculture of the Republic of Kazakhstan on the introduction of temporary restrictions on the importation into the territory of Kazakhstan from Hungary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treatment (feathered game), used equipment for keeping, slaughtering and cutting birds, as well as on the transit of live poultry from the above-mentioned territory through the territory of Kazakhstan.The notified measure was modified by the Letter of the Committee for Veterinary Control and Surveillance of the Ministry of Agriculture of Kazakhstan.</t>
  </si>
  <si>
    <t>Live poultry and hatching eggs, down and feathers, poultry meat and all types of poultry products, feed and feed additives for birds, hunting trophies, used equipment for keeping, slaughtering and butchering birds </t>
  </si>
  <si>
    <t>01 - LIVE ANIMALS; 02 - MEAT AND EDIBLE MEAT OFFAL; 04 - DAIRY PRODUCE; BIRDS' EGGS; NATURAL HONEY; EDIBLE PRODUCTS OF ANIMAL ORIGIN, NOT ELSEWHERE SPECIFIED OR INCLUDED; 05 - PRODUCTS OF ANIMAL ORIGIN, NOT ELSEWHERE SPECIFIED OR INCLUDED; 23 - RESIDUES AND WASTE FROM THE FOOD INDUSTRIES; PREPARED ANIMAL FODDER; 84 - NUCLEAR REACTORS, BOILERS, MACHINERY AND MECHANICAL APPLIANCES; PARTS THEREOF; 04 - DAIRY PRODUCE; BIRDS' EGGS; NATURAL HONEY; EDIBLE PRODUCTS OF ANIMAL ORIGIN, NOT ELSEWHERE SPECIFIED OR INCLUDED; 02 - MEAT AND EDIBLE MEAT OFFAL; 01 - LIVE ANIMALS; 05 - PRODUCTS OF ANIMAL ORIGIN, NOT ELSEWHERE SPECIFIED OR INCLUDED; 23 - RESIDUES AND WASTE FROM THE FOOD INDUSTRIES; PREPARED ANIMAL FODDER; 84 - NUCLEAR REACTORS, BOILERS, MACHINERY AND MECHANICAL APPLIANCES; PARTS THEREOF</t>
  </si>
  <si>
    <t>Pest- or Disease- free Regions / Regionalization; Animal diseases; Food safety; Animal health; Human health; Avian Influenza; Modification of content/scope of regulation; Avian Influenza; Pest- or Disease- free Regions / Regionalization; Animal diseases; Food safety; Animal health; Human health</t>
  </si>
  <si>
    <t>Approval of Addendum XXXI to Amendment 3 to the Interstate Fishery Management Plan for American Lobster, postponing implementation of certain measures in Addendum XXVII</t>
  </si>
  <si>
    <t>The Atlantic States Marine Fisheries Commission's (ASMFC) American Lobster Management Board approved Addendum XXXI to Amendment 3 to the Interstate Fishery Management Plan for American Lobster. The Addendum postpones the implementation of certain measures from Addendum XXVII to 1 July 2025.  Addendum XXXI is available on the Commission website, www.asmfc.org, American Lobster page https://asmfc.org/species/american-lobster, towards the bottom under the heading "Management Plans &amp; FMP Reviews", at https://asmfc.org/uploads/file/6737954fAmLobsterAddendum_XXXI_Oct2024.pdf</t>
  </si>
  <si>
    <t>Whole live lobster of the species Homarus americanus - Lobsters "Homarus spp.", whether in shell or not, live, fresh or chilled (HS code(s): 030632); Fish and fishery products (ICS code(s): 67.120.30)</t>
  </si>
  <si>
    <t>030632 - Lobsters "Homarus spp.", whether in shell or not, live, fresh or chilled; 030632 - Lobsters "Homarus spp.", whether in shell or not, live, fresh or chilled</t>
  </si>
  <si>
    <t>67.120.30 - Fish and fishery products; 67.120.30 - Fish and fishery products</t>
  </si>
  <si>
    <t>Animal health; Animal health</t>
  </si>
  <si>
    <d:r xmlns:d="http://schemas.openxmlformats.org/spreadsheetml/2006/main">
      <d:rPr>
        <d:sz val="11"/>
        <d:rFont val="Calibri"/>
      </d:rPr>
      <d:t xml:space="preserve">https://members.wto.org/crnattachments/2024/TBT/USA/24_08463_00_e.pdf</d:t>
    </d:r>
  </si>
  <si>
    <t>Dominican Republic</t>
  </si>
  <si>
    <t>Technical regulation governing the marketing of cosmetic, personal care and household care products</t>
  </si>
  <si>
    <t xml:space="preserve">- __________  1 This information can be provided by including a website address, a PDF attachment, or other information on where the text of the final measure/change to the measure/interpretative guidance can be obtained.</t>
  </si>
  <si>
    <t>Cosmetics. Toiletries (ICS code: 71.100.70)</t>
  </si>
  <si>
    <t>71.100.70 - Cosmetics. Toiletries; 71.100.70 - Cosmetics. Toiletries</t>
  </si>
  <si>
    <t>Consumer information, labelling (TBT); Prevention of deceptive practices and consumer protection (TBT); Protection of human health or safety (TBT); Protection of the environment (TBT); Quality requirements (TBT)</t>
  </si>
  <si>
    <t>Draft of the Egyptian Standard ES 1781 "safety requirements for household and similar electrical appliance” </t>
  </si>
  <si>
    <t xml:space="preserve">Products covered: ICS: 13.120 (Domestic safety), ICS: 79.30 (Domestic electrical appliances in general)This addendum concerns the notification of the draft of the Egyptian Standard ES 1781" safety requirements for household and similar electrical appliance "(267 pages in Arabic).It should be noted that the G/TBT/N/EGY/233 dated 12 November 2019, the Ministerial Decree No. 171/2020 (2 pages, in Arabic) which was formerly notified in G/TBT/N/EGY/233/Add.1 dated 4 June 2020, mandated among others the earlier versions of this Standard.Worth mentioning is that this draft standard is technically identical with modifications to IEC 60335-1/2020.Producers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from:Egyptian Organization for Standardization and Quality_x000D_
16 Tadreeb El-Modarrebeen St., Ameriya, Cairo – Egypt_x000D_
E-mail: eos@eos.org.egeos.tbt@eos.org.eg_x000D_
Website: http://www.eos.org.eg_x000D_
Tel.: + (202) 22845528 _x000D_
Fax: + (202) 22845504 </t>
  </si>
  <si>
    <t>Domestic safety (ICS code(s): 13.120); Domestic electrical appliances in general (ICS code(s): 97.030)</t>
  </si>
  <si>
    <t>13.120 - Domestic safety; 13.120 - Domestic safety; 97.030 - Domestic electrical appliances in general; 97.030 - Domestic electrical appliances in general</t>
  </si>
  <si>
    <t>Animal Feeds and Feed   Ingredients (Quality Control) Order, 2024</t>
  </si>
  <si>
    <t>This order seeks to ensure conformity of the feed ingredients (Mineral mixtures for supplementing cattle feeds, Cottonseed Oilcake, Mustard and Rapeseed Oilcake, Dicalcium phosphate, Animal feed grade and Common salt and Cattle licks) to the Indian Standards, as amended from to time, as specified in the Table of the Order.</t>
  </si>
  <si>
    <t>1.Mineral mixtures for supplementing Cattle feeds (IS 1664),    2. Cottonseed Oilcake as Livestock Feed ingredient (IS 1712),   3. Mustard and Rapeseed Oilcake as Livestock Feed Ingredient (IS 1932),   4. Dicalcium phosphate, Animal feed grade (IS 5470)   5. Common salt and cattle licks for animal consumption (IS 920)</t>
  </si>
  <si>
    <d:r xmlns:d="http://schemas.openxmlformats.org/spreadsheetml/2006/main">
      <d:rPr>
        <d:sz val="11"/>
        <d:rFont val="Calibri"/>
      </d:rPr>
      <d:t xml:space="preserve">https://members.wto.org/crnattachments/2024/TBT/IND/24_08459_00_e.pdf</d:t>
    </d:r>
  </si>
  <si>
    <t>Draft of the Egyptian Standard ES 182-1 "Polyvinyl chloride insulated cables of rated voltages up to and including 450/750 V PART 1: General requirements” </t>
  </si>
  <si>
    <t xml:space="preserve">Products covered: ICS: 29.060.20   (Cables) This addendum concerns the notification of the draft of the Egyptian Standard ES 182-1" Polyvinyl chloride insulated cables of rated voltages up to and including 450/750 V PART 1: General requirements “(28 pages in Arabic).It should be noted that Ministerial Decree No.1000/2017 (2 pages, in Arabic) which was formerly notified in G/TBT/N/EGY/3/Add.7 and the Ministerial Decree No. 197/2023 (2 pages, in Arabic) which was formerly notified in G/TBT/N/EGY/3/Add.58 dated 10 August 2023, mandated among others the earlier versions of this Standard. Worth mentioning is that this draft standard is technically identical with IEC 60227-1/2024Producers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from:Egyptian Organization for Standardization and Quality_x000D_
16 Tadreeb El-Modarrebeen St., Ameriya, Cairo – Egypt_x000D_
E-mail: eos@eos.org.egeos.tbt@eos.org.eg_x000D_
Website: http://www.eos.org.eg_x000D_
Tel.: + (202) 22845528 _x000D_
Fax: + (202) 22845504 </t>
  </si>
  <si>
    <t>Draft of Egyptian standard ES 8604-3 “Charging cables for electric vehicles of rated voltages up to and including 0,6/1 kV -Part 3: Cables for AC charging according to modes 1, 2 and 3 of IEC 61851-1 of rated voltages up to and including 450/750 V”.</t>
  </si>
  <si>
    <t>This draft of Egyptian standard ES: 8604-3/ 2024 which applies to AC charging cables according to Types 1, 2 and 3 of IEC 6185-1. Rated voltages of Uo/U cables up to 450/750V. Ordinary duty cables with a rated voltage of 300/500 V are all/owed to be used only in charging mode 1 of IEC 61851-1. The maximum conductor operating temperature for these cables in this standard is 90 °C. Worth mentioning is that this draft standard is technically identical with IEC 62893-3:2017</t>
  </si>
  <si>
    <t>Cables (ICS code(s): 29.060.20); Electric road vehicles (ICS code(s): 43.120)</t>
  </si>
  <si>
    <t>29.060.20 - Cables; 43.120 - Electric road vehicles</t>
  </si>
  <si>
    <t>Protection of human health or safety (TBT); Quality requirements (TBT); Other (TBT)</t>
  </si>
  <si>
    <t>Draft of the Egyptian Standard ES 182-3"Polyvinyl chloride insulated cables of rated voltages up to 450/750 V - Part 3: Non-sheathed cables for fixed wiring”</t>
  </si>
  <si>
    <t xml:space="preserve">Products covered: ICS: 29.060.20 (Cables) This addendum concerns the notification of the draft of the Egyptian Standard ES 182-3" Polyvinyl chloride insulated cables of rated voltages up to 450/750 V - Part 3: Non-sheathed cables for fixed wiring “(22 pages in Arabic).It should be noted that the Ministerial Decree No. 423/2005 25 pages, in Arabic) which was formerly notified in G/TBT/N/EGY/3 dated 14 December 2005 mandated among others the earlier versions of this Standard.Worth mentioning is that this draft standard is technically identical with IEC 60227 – 3 / 2024Producers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from:Egyptian Organization for Standardization and Quality_x000D_
16 Tadreeb El-Modarrebeen St., Ameriya, Cairo – Egypt_x000D_
E-mail: eos@eos.org.egeos.tbt@eos.org.eg_x000D_
Website: http://www.eos.org.eg_x000D_
Tel.: + (202) 22845528 _x000D_
Fax: + (202) 22845504 </t>
  </si>
  <si>
    <t>The Egyptian Standard ES 465-3 for "cocoa and its products part 3: chocolate " (partial amendment in 1 page, in Arabic)</t>
  </si>
  <si>
    <t>In the Addendum G/TBT/N/EGY/328/Add.1 dated 9 October 2024, Mandatory Egyptian standard ES 465-3/2024, Paragraph 4 should read as follows :Worth mentioning is that this standard is (partial amendment in 1 page, in Arabic): Item No. (1) Scope:                      Chocolate shall be prepared from cocoa and cocoa materials with sugars and may contain sweeteners, milk products, flavouring substances and other food ingredients.Item No.(2) definition :                               2/2/1   Chocolate Vermicelli (Vermicelli ) and Chocolate Flakes.                               2/2/1/1 Chocolate Vermicelli (Vermicelli) / Chocolate Flakes.                                2/2/1/2 Milk Chocolate Vermicelli (Vermicelli )/Milk Chocolate Flakes.Item No.(3) Basic requirements :                                 3/1 Chocolate Vermicelli (Vermicelli) and Chocolate Flakes as in item (2/2/1).Item No. (5) Packaging and Labelling:                                 Item (5/6) will be added including the following: “Products not covered by this standard, where the chocolate flavour is derived solely from non-fat cocoa solids, may  bear the name "chocolate" in their designation. This is to avoid confusion with those products listed under this standard.”</t>
  </si>
  <si>
    <t>Chocolate (ICS code(s): 67.190)</t>
  </si>
  <si>
    <t>67.190 - Chocolate; 67.190 - Chocolate; 67.190 - Chocolate</t>
  </si>
  <si>
    <t>Food standards; Food standards; Food standards</t>
  </si>
  <si>
    <t>Significant New Use Rules on Certain Chemical Substances (24-3.5e)</t>
  </si>
  <si>
    <t xml:space="preserve">Proposed rule - The Environmental Protection Agency (EPA) is proposing significant new use rules (SNURs) under the 
Toxic Substances Control Act (TSCA) for certain chemical substances 
that were the subject of premanufacture notices (PMNs) and are also 
subject to an Order issued by EPA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the conditions of that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determination.&gt;</t>
  </si>
  <si>
    <t>Heptane, 2-methoxy-2-methyl-; 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</si>
  <si>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</si>
  <si>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d:r xmlns:d="http://schemas.openxmlformats.org/spreadsheetml/2006/main">
      <d:rPr>
        <d:sz val="11"/>
        <d:rFont val="Calibri"/>
      </d:rPr>
      <d:t xml:space="preserve">https://members.wto.org/crnattachments/2024/TBT/USA/24_08465_00_e.pdf</d:t>
    </d:r>
  </si>
  <si>
    <t>El Salvador</t>
  </si>
  <si>
    <t>Reglamento Técnico Salvadoreño -RTS- 11.02.04:24 PRODUCTOS FARMACÉUTICOS. MEDICAMENTOS DE USO HUMANO. BUENAS PRÁCTICAS DE ALMACENAMIENTO, DISPENSACIÓN, DISTRIBUCIÓN Y TRANSPORTE (Salvadoran Technical Regulation (RTS) 11.02.04:24: Pharmaceutical products. Medicines for human use. Good practices for storage, dispensing, distribution and transportation) (33 pages, in Spanish)</t>
  </si>
  <si>
    <t>The notified Salvadoran Technical Regulation establishes guidelines for good practices for the storage, dispensing, distribution and transportation of medicines, for pharmaceutical establishments. It applies to both public and private pharmaceutical establishments that are engaged in the storage, dispensing, distribution and transportation of pharmaceutical products.</t>
  </si>
  <si>
    <t>Other standards related to pharmaceutics (ICS code: 11.120.99)</t>
  </si>
  <si>
    <t>11.120.99 - Other standards related to pharmaceutics</t>
  </si>
  <si>
    <t>Prevention of deceptive practices and consumer protection (TBT); Protection of human health or safety (TBT)</t>
  </si>
  <si>
    <d:r xmlns:d="http://schemas.openxmlformats.org/spreadsheetml/2006/main">
      <d:rPr>
        <d:sz val="11"/>
        <d:rFont val="Calibri"/>
      </d:rPr>
      <d:t xml:space="preserve">https://members.wto.org/crnattachments/2024/TBT/SLV/24_08345_00_s.pdf</d:t>
    </d:r>
  </si>
  <si>
    <t>Draft of Egyptian standard ES: 7825 "luminaries –General requirements and tests" </t>
  </si>
  <si>
    <t>This draft of Egyptian standard ES 7825 specifies general requirements for luminaires, incorporating electric light sources for operation from supply voltages up to 1 000 V. The requirements and related tests of this document cover: classification, marking, mechanical construction, electrical construction and photobiological safety.Each section of this standard is read in conjunction with this Section 0 and with other relevant sections to which reference is made.Each part of IEC 60598-2(Or the corresponding Egyptian standard) details requirements for a particular type of luminaire or group of luminaires on supply voltages not exceeding 1 000 V. These parts are published separately for ease of revision and additional sections will be added as and when a need for them is recognized.The presentation of photometric data for luminaires is under consideration by the International Commission on Illumination (CIE) and is not, therefore, included in this standard.Requirements are included in this standard for luminaires incorporating ignitors with nominal peak values of the voltage pulse not exceeding those of Table 11.2. The requirements apply to luminaires with ignitors built into ballasts and to luminaires with ignitors separate from ballasts. For luminaires with ignitors built into lamps, the requirements are under consideration.Requirements for semi-luminaires are included in this standard.In general, this standard covers safety requirements for luminaires. The object of  this standard is to provide a set of requirements and tests which are considered to be generally applicable to most types of luminaires and which can be called up as required by the detail specifications of IEC 60598-2. This standard is thus not regarded as a specification in itself for any type of luminaire, and its provisions apply only to particular types of luminaires to the extent determined by the appropriate part of IEC 60598-2.The parts of IEC 60598-2, in making reference to any of the sections of this standard, specify the extent to which that section is applicable and the order in which the tests are performed; they also include additional requirements as necessary.The order in which the sections of this standard are numbered has no particular significance as the order in which their provisions apply is determined for each type of luminaire or group of luminaires by the appropriate part of IEC 60598-2. All parts of IEC 60598-2 are self-contained and therefore do not contain references to other parts of IEC 60598-2.Where the requirements of any of the sections of this standard are referred to in the parts of IEC 60598-2 by the phrase "The requirements of section... of IEC 60598-1 apply", this phrase is interpreted as meaning that all the requirements of that section of this standard apply except those which are clearly inapplicable to the particular type of luminaire covered by that part of IEC 60598-2.For explosion proof luminaires, as covered by IEC 60079, the requirements of IEC 60598 (selecting the appropriate parts 2) are applied in addition to the requirements of IEC 60079. In the event of any conflict between IEC 60598 and IEC 60079, the requirements of IEC 60079 take priority.Improvements in safety to take into account the state of the art technology are incorporated in the standards with revisions and amendments on an ongoing basis. Regional standardization bodies can include statements in their derived standards to cover products which have complied with the previous document as shown by the manufacturer or standardization body.The statements may require that for such products, the previous standard may continue to apply to production until a defined date after which the new standard shall apply.Worth mentioning is that this draft standard is technically identical with IEC 60598-1/2020.</t>
  </si>
  <si>
    <t>Luminaires (ICS code(s): 29.140.40)</t>
  </si>
  <si>
    <t>29.140.40 - Luminaires</t>
  </si>
  <si>
    <t>Trichloroethylene (TCE); Regulation Under the Toxic Substances Control Act (TSCA)</t>
  </si>
  <si>
    <t xml:space="preserve">The Environmental Protection Agency (EPA or Agency) is finalizing a rule to address the unreasonable risk of injury to health presented by trichloroethylene (TCE) under its conditions of use. The Toxic Substances Control Act (TSCA) requires that EPA address by rule any unreasonable risk of injury to health or the environment identified in a TSCA risk evaluation and apply requirements to the extent necessary so that the chemical no longer presents unreasonable risk. EPA's final rule will, among other things, prevent serious illness associated with uncontrolled exposures to the chemical by preventing consumer access to the chemical, restricting the industrial and commercial use of the chemical while also allowing for a reasonable transition period with interim worker protections in place where an industrial and commercial use of the chemical is being prohibited, and provide time-limited exemptions for critical or essential uses of TCE for which no technically and economically feasible safer alternatives are available.This final rule is effective on 16 January 2025.89 Federal Register (FR) 102568, 17 December 2024; Title 40 Code of Federal Regulations (CFR) Part 751_x000D_
https://www.govinfo.gov/content/pkg/FR-2024-12-17/html/2024-29274.htm_x000D_
https://www.govinfo.gov/content/pkg/FR-2024-12-17/pdf/2024-29274.pdfThis final rule and the proposed rule notified as G/TBT/N/USA/2062 are identified by Docket Number EPA-HQ-OPPT-2020-0642. The Docket Folder is available on Regulations.gov at https://www.regulations.gov/docket/EPA-HQ-OPPT-2020-0642/document and provides access to primary and supporting documents as well as comments received. Documents are also accessible from Regulations.gov by searching the Docket Number. </t>
  </si>
  <si>
    <t>Trichloroethylene; Environmental protection (ICS code(s): 13.020); Production in the chemical industry (ICS code(s): 71.020); Products of the chemical industry (ICS code(s): 71.100)</t>
  </si>
  <si>
    <d:r xmlns:d="http://schemas.openxmlformats.org/spreadsheetml/2006/main">
      <d:rPr>
        <d:sz val="11"/>
        <d:rFont val="Calibri"/>
      </d:rPr>
      <d:t xml:space="preserve">https://members.wto.org/crnattachments/2024/TBT/USA/final_measure/24_08464_00_e.pdf</d:t>
    </d:r>
  </si>
  <si>
    <t>Draft of Egyptian standard ES 8604-2 “Charging cables for electric vehicles of rated voltages up to and including 0,6/1 kV -Part 2: Test methods”</t>
  </si>
  <si>
    <t>This draft of Egyptian standard ES: 8604-2 which   specifies test methods for electrical cables with extruded insulation and sheathing and rated voltage up to 0.6/1 kV (AC) or up to 1500 V DC for flexible applications under extreme power supply conditions between the power supply point or charging station and the Electric Vehicle (EV). Worth mentioning is that this draft standard is technically identical with IEC 62893-2/2017</t>
  </si>
  <si>
    <t>Proyecto de Norma Oficial Mexicana PROY-NOM-016-ENER-2024, Eficiencia energética de motores de corriente alterna, trifásicos, de inducción, tipo jaula de ardilla, en potencia nominal de 0.746 kW a 373 kW. Límites, método de prueba y marcado (Draft Mexican Official Standard PROY-NOM-016-ENER-2024, Energy efficiency of three-phase squirrel-cage AC induction motors with a rated output of 0.746 kW to 373 kW. Limits, test methods and marking) (28 pages, in Spanish)</t>
  </si>
  <si>
    <t xml:space="preserve">• This draft Mexican Official Standard establishes the minimum energy efficiency values, test method, marking requirements and conformity assessment procedure. • It applies to electric continuous duty, air-cooled, horizontally or vertically mounted, single rotational frequency (rotational speed of the motor shaft or axis), open- or closed-loop, three-phase squirrel-cage asynchronous AC induction motors with a rated output of 0.746 kW to 373 kW, 2, 4, 6 or 8 poles and at least G/TBT/N/MEX/541 - 2 -   a marked rated voltage of up to 600 V, which are imported, manufactured or marketed within the United Mexican States. • The following are excluded from the scope of this draft Mexican Official Standard: o Electric motors that require auxiliary or additional cooling equipment.</t>
  </si>
  <si>
    <t>This draft Mexican Official Standard applies to electric continuous duty, air-cooled, horizontally or vertically mounted, single rotational frequency (rotational speed of the motor shaft or axis), open- or closed-loop, three-phase squirrel-cage asynchronous AC induction motors with a rated output of 0.746 kW to 373 kW, 2, 4, 6 or 8 poles and at least a marked rated voltage of up to 600 V, which are imported, manufactured or marketed within the United Mexican States.</t>
  </si>
  <si>
    <t>29.160.30 - Motors</t>
  </si>
  <si>
    <t>Consumer information, labelling (TBT); Protection of the environment (TBT); Other (TBT)</t>
  </si>
  <si>
    <d:r xmlns:d="http://schemas.openxmlformats.org/spreadsheetml/2006/main">
      <d:rPr>
        <d:sz val="11"/>
        <d:rFont val="Calibri"/>
      </d:rPr>
      <d:t xml:space="preserve">https://members.wto.org/crnattachments/2024/TBT/MEX/24_08469_00_s.pdf</d:t>
    </d:r>
  </si>
  <si>
    <t>Access to Video Conferencing</t>
  </si>
  <si>
    <t xml:space="preserve">In this document, the Federal Communications Commission (FCC or Commission) takes steps to ensure the accessibility of interoperable video conferencing services (IVCS). The Commission provides additional clarity on how the Commission's accessibility performance objectives apply to interoperable video conferencing services (IVCS), modifies those performance objectives to ensure access to IVCS, and addresses how the Interstate telecommunications relay services (TRS) Fund will support the provision of Video Relay Service (VRS) and other forms of TRS in video conferences.Effective date: Effective 13 January 2025, except for instruction 6 (the amendments to Sec. 64.606(g)(6)), which is delayed. The Commission will publish a document in the Federal Register announcing the effective date for the amendments to Sec.  64.606(g)(6). Compliance date: The compliance date for Sec. Sec.  14.21(b)(2)(iv) and (b)(4) is 12 January 2027.89 Federal Register (FR) 100878, 13 December 2024; Title 47 Code of Federal Regulations (CFR) Parts 14 and 64_x000D_
https://www.govinfo.gov/content/pkg/FR-2024-12-13/html/2024-27479.htm_x000D_
https://www.govinfo.gov/content/pkg/FR-2024-12-13/pdf/2024-27479.pdfhttps://docs.fcc.gov/public/attachments/FCC-24-95A1.pdfThis final rule is identified by CG Docket Nos. 23-16110-213, and 03-123FCC 24-95. Documents are also accessible from the FCC's Electronic Document Management System (EDOCS) by searching the CG Docket Numbers. Comments ("filings") posted by the FCC in the Electronic Comment Filing System (ECFS) are accessible at https://www.fcc.gov/ecfs/search/search-filings/results?q=(proceedings.name:(%2223-161%22))</t>
  </si>
  <si>
    <t>Video conferencing;  IT terminal and other peripheral equipment (ICS code(s): 35.180); Interface and interconnection equipment (ICS code(s): 35.200)</t>
  </si>
  <si>
    <t>35.180 - IT terminal and other peripheral equipment; 35.200 - Interface and interconnection equipment; 35.180 - IT terminal and other peripheral equipment; 35.200 - Interface and interconnection equipment</t>
  </si>
  <si>
    <t>Consumer information, labelling (TBT); Prevention of deceptive practices and consumer protection (TBT); Quality requirements (TBT)</t>
  </si>
  <si>
    <d:r xmlns:d="http://schemas.openxmlformats.org/spreadsheetml/2006/main">
      <d:rPr>
        <d:sz val="11"/>
        <d:rFont val="Calibri"/>
      </d:rPr>
      <d:t xml:space="preserve">https://members.wto.org/crnattachments/2024/TBT/USA/final_measure/24_08436_00_e.pdf
https://members.wto.org/crnattachments/2024/TBT/USA/final_measure/24_08436_01_e.pdf</d:t>
    </d:r>
  </si>
  <si>
    <t>Ukraine</t>
  </si>
  <si>
    <t>Draft Resolution of the Cabinet of Ministers of Ukraine “On Amendments to Annex 1 to the Technical Regulation on Safety of Machinery and to the Technical Regulation for Noise Emission in the Environment by Equipment for Use Outdoors”</t>
  </si>
  <si>
    <t>Ukraine notifies that the draft Resolution of the Cabinet of Ministers of Ukraine “On Amendments to Annex 1 to the Technical Regulation on Safety of Machinery and to the Technical Regulation for Noise Emission in the Environment by Equipment for Use Outdoors” has been adopted as the Resolution of the Cabinet of Ministers of Ukraine No. 1399 "On Amendments to the Resolutions of the Cabinet of Ministers of Ukraine No. 62 of 30 January 2013 and No. 1186 of 04 December 2019" of 10 December 2024.The Resolution was published on 13 December 2024, and will come into force on 13 June 2025, except for sub-item 13 of item 2 of the Amendments, which will enter into force on 22 May 2025 and paragraphs  three  to  five  of  item  6,  sub-items  9  and  14  of  item  2  of  the  of  the Amendments, which will take effect simultaneously with the entry into force of the Agreement between Ukraine and the the European Union on Conformity Assessment and Acceptance of Industrial Products.</t>
  </si>
  <si>
    <t>Equipment used on construction sites, in parks, and gardens, such as chainsaws, cranes, dump trucks, excavators, lawnmowers, leaf blowers, electric generators, etc.</t>
  </si>
  <si>
    <t>65.060 - Agricultural machines, implements and equipment; 65.060 - Agricultural machines, implements and equipment; 91.220 - Construction equipment; 91.220 - Construction equipment</t>
  </si>
  <si>
    <t>Protection of human health or safety (TBT); Protection of the environment (TBT); Quality requirements (TBT); Harmonization (TBT)</t>
  </si>
  <si>
    <d:r xmlns:d="http://schemas.openxmlformats.org/spreadsheetml/2006/main">
      <d:rPr>
        <d:sz val="11"/>
        <d:rFont val="Calibri"/>
      </d:rPr>
      <d:t xml:space="preserve">https://members.wto.org/crnattachments/2024/TBT/UKR/final_measure/24_08430_00_x.pdf</d:t>
    </d:r>
  </si>
  <si>
    <t>Establece requisitos fitosanitarios para la importación de frutos frescos de limón (Citrus limon) para consumo, producidos y procedentes de Argentina (Phytosanitary requirements governing the importation of fresh lemons (Citrus limon) for consumption, produced in and coming from Argentina)</t>
  </si>
  <si>
    <t>The notified draft Resolution establishes phytosanitary requirements governing the importation into Chile of fresh lemons (Citrus limon) coming from Argentina, in accordance with the work plan agreed by the SAG and the National Agriculture and Food Quality and Health Service (SENASA) of Argentina.</t>
  </si>
  <si>
    <t>Plant health; Plant diseases</t>
  </si>
  <si>
    <d:r xmlns:d="http://schemas.openxmlformats.org/spreadsheetml/2006/main">
      <d:rPr>
        <d:sz val="11"/>
        <d:rFont val="Calibri"/>
      </d:rPr>
      <d:t xml:space="preserve">https://members.wto.org/crnattachments/2024/SPS/CHL/24_08443_00_s.pdf</d:t>
    </d:r>
  </si>
  <si>
    <t>Notice of authorization of twenty-five feed additives and one feed for particular nutritional purposes</t>
  </si>
  <si>
    <t>The UK Food Safety Authorities are notifying Members of the intention to authorize twenty-five feed additive applications, and one application for feed for particular nutritional purposes (PARNUT).Applications were submitted and have been assessed by the FSA and FSS under the UK risk analysis process.These authorisations are made on the basis of the feed additive functions set out below, with detailed specifications set out in the consultations linked in section 9:Nutritional additives belonging to the functional group of "Compounds of trace elements":RP222 - Selenised yeast produced from Saccharomyces cerevisiae (CNCM I-3060), inactivated (modification only authorisation, identification number 3b810) as a feed additive for all animal species.RP1386 - Copper chelate of hydroxy analogue of methionine (renewal authorisation, identification number 3b410i) as a feed additive for all animal species.RP1387 - Manganese chelate of hydroxy analogue of methionine (renewal authorisation, identification number 3b510) as a feed additive for all animal species.RP1388 - Zinc chelate of hydroxy analogue of methionine (renewal authorisation, identification number 3b610) as a feed additive for all animal species.Nutritional additives belonging to the functional group of "Amino acids, their salts and analogues":RP1105 - L-histidine monohydrochloride monohydrate produced from Escherichia coli (KCCM 80212) (new authorisation, identification number 3c352i) as a feed additive for all animal species.RP1125 - L-tryptophan produced from Escherichia coli (KCCM 80210) (new authorisation, identification number 3c440i) as a feed additive for all animal species.RP1126 - L-lysine sulphate produced from Corynebacteriumglutamicum (KCCM 80227) (new authorisation, identification number 3c324i) as a feed additive for all animal species.RP1199 Part A - L-lysine base (liquid) produced from Corynebacterium glutamicum (KCCM 80183) (new authorisation, identification number 3c320) as a feed additive for all animal species.RP1199 Part B - L-lysine monohydrochloride (technically pure) produced from Corynebacterium glutamicum (KCCM 80183) (new authorisation, identification number 3c322ii) as a feed additive for all animal species.Nutritional additives belonging to the functional group of "Vitamins, pro-vitamins and chemically well-defined substances having similar effect":RP1349 - Phytomenadione (Vitamin K1) (new authorisation, identification number 3a712) as a feed additive for horses.Technological additives belonging to the functional group of "Acidity regulator and hygiene condition enhancer":RP29 - Pediococcus acidilactici (CNCM I-4622) (new authorisation, identification number 4d1712) as a feed additive for all animal species.Technological additives belonging to the functional group of "Antioxidants":RP1198 - Butylated hydroxyanisole (new authorisation, identification number 1b320) as a feed additive for cats (FEDIAF).Technological additives belonging to the functional group of "substances for reduction of the contamination of feed by mycotoxin":RP1591 – Fumonisin esterase (EC 3.1.1.87) produced from Komagataella phaffii (DSM 32159) (new use only (extension of species) authorisation, identification number 1m03i) as a feed additive for all animal species.Zootechnical additives belonging to "other zootechnical" RP16 - Chromium chelate of DL-methionine (new authorisation, identification number GB4d0001) as a feed additive for dairy cows:RP1259 - Muramidase (EC 3.2.1.17) produced from Trichoderma reesei (DSM 32338) (new use only (extension of species) authorisation, identification number 4d16) as a feed additive for weaned piglets.Zootechnical additives belonging to the functional group of "digestibility enhancers":RP185 - 6-phytase (EC 3.1.3.26) produced by Komagataella phaffii (DSM 23036) (renewal and new use (extension of species) with or without modification authorisation, identification number 4a16) as a feed additive for all avian species and all pigs.Zootechnical additives belonging to the functional group of "gut flora stabilisers":RP24 - Saccharomyces cerevisiae (MUCL 39885) (renewal authorisation, identification number 4b1710) as a feed additive for weaned piglets.RP25 - Saccharomyces cerevisiae (MUCL 39885) (new use (extension of species) authorisation, identification number 4b1710) as a feed additive for all pigs and minor porcine species other than sows and piglets (suckling and weaned).RP26 – Saccharomyces Cerevisiae (MUCL 39885) (new use (extension of species) authorisation, identification number 4b1710) as a feed additive for cats and dogs.RP641 - Bacillus velezensis (formerly Bacillus subtilis) (DSM 15544) (renewal and new use (extension of species) with or without modification authorisation, identification number 4b1820) as a feed additive for weaned piglets and all avian species.Sensory additives belonging to the functional group of "Flavouring compounds":RP1200 - Disodium 5'-guanylate produced from Corynebacterium stationis (KCCM 10530) and Escherichia coli (KFCC 11067) (new authorisation, identification number 2b627i) as a feed additive for all animal species.Coccidiostats and histomonostats:RP140 - Monensin sodium (carrier: perlite, calcium carbonate) produced from Streptomyces cinnamonensis 28682 (NBIMCC3419) (renewal authorisation, identification number 51701) as a feed additive for chickens for fattening, chickens reared for laying and turkeys for fattening.RP284 - Monensin sodium (carrier: perlite, calcium carbonate) produced from Streptomyces cinnamonensis 28682 (NBIMCC3419) (new use (extension of species) authorisation, identification number 51701) as a feed additive for turkeys reared for breeding.RP141 - Monensin sodium (carrier: perlite, wheat bran) produced from Streptomyces cinnamonensis 28682 (NBIMCC3419) (renewal authorisation, identification number 51701) as a feed additive for chickens for fattening and turkeys.RP142 - Monensin sodium (carrier: perlite, wheat bran) (new use (extension of species) authorisation, identification number 50701) as a feed additive for chickens for reared for laying and turkeys reared for breeding.PARNUT (particular nutritional purposes):RP658 – A modification of entry number 60 "Reduction of the risk of milk fever and subclinical hypocalcaemia" of Part B of the Annex to assimilated Regulation (EU) 2020/354 (modification only authorisation) as a feed additive for dairy cows.Administrative change of authorisation holder (Evonik Operations GmbH) (modification) for the preparation of Fecinor® Enterococcus faecium (CECT 4515) and Ecobiol® Bacillus amyloliquefaciens (CECT 5940) by changing the name of the holder of authorisation from Evonik Nutrition &amp; Care GmbH to Evonik Operations GmbH:RP1654 - Enterococcus faecium (CECT 4515) (modification only, identification number 4b1713) change of holder.The authorisations are trade facilitative.</t>
  </si>
  <si>
    <t>Feed Additives.  Feed for particular nutritional purpose. Please see section 6 below for more details. </t>
  </si>
  <si>
    <d:r xmlns:d="http://schemas.openxmlformats.org/spreadsheetml/2006/main">
      <d:rPr>
        <d:sz val="11"/>
        <d:rFont val="Calibri"/>
      </d:rPr>
      <d:t xml:space="preserve">England: The Feed Additives (Authorisations) and Uses of Feed Intended for Particular Nutritional Purposes (Amendment of Commission Regulation (EU) 2020/354) (England) Regulations 2024.
Scotland: The Feed Additives (Authorisations) and Uses of Feed Intended for Particular Nutritional Purposes (Miscellaneous Amendment) (Scotland) Regulations 2024.
Wales: The Feed Additives (Authorisations) and Uses of Feed Intended for Particular Nutritional Purposes (Amendment of Commission Regulation (EU) 2020/354) (Wales) Regulations 2024.</d:t>
    </d:r>
  </si>
  <si>
    <t>DUS DARS 948:2024, Fresh ginger — Specification, First edition</t>
  </si>
  <si>
    <t>This Draft Uganda Standard applies to the rhizome of commercial varieties of ginger grown from Zingiber officinale Roscoe, of the Zingiberaceae family, to be supplied fresh to the consumer, after preparation and packaging. Ginger for industrial processing is excluded.Note: This Draft Uganda Standard was also notified to the TBT Committee.</t>
  </si>
  <si>
    <t>Ginger, neither crushed nor ground (HS code(s): 091011); Vegetables and derived products (ICS code(s): 67.080.20)</t>
  </si>
  <si>
    <t>091011 - Ginger, neither crushed nor ground</t>
  </si>
  <si>
    <t>67.080.20 - Vegetables and derived products</t>
  </si>
  <si>
    <d:r xmlns:d="http://schemas.openxmlformats.org/spreadsheetml/2006/main">
      <d:rPr>
        <d:sz val="11"/>
        <d:rFont val="Calibri"/>
      </d:rPr>
      <d:t xml:space="preserve">https://members.wto.org/crnattachments/2024/SPS/UGA/24_08401_00_e.pdf</d:t>
    </d:r>
  </si>
  <si>
    <t>DUS DARS 55:2024, Production, handling and processing of dried fruits and vegetables — Code of practice, First edition</t>
  </si>
  <si>
    <t>This Draft Uganda Standard applies to fruits and vegetables that have been dried by natural or artificial means or a combination of both. This draft standard does not apply to fruits and vegetables commonly known as "Dehydrated fruits and vegetables" with moisture content not exceeding 5%.Note: This Draft Uganda Standard was also notified to the TBT Committee.</t>
  </si>
  <si>
    <t>Mixtures of nuts or dried fruits (HS code(s): 081350); Fruits and derived products (ICS code(s): 67.080.10); dried fruits; dried vegetables</t>
  </si>
  <si>
    <t>081350 - Mixtures of nuts or dried fruits</t>
  </si>
  <si>
    <t>67.080.10 - Fruits and derived products</t>
  </si>
  <si>
    <d:r xmlns:d="http://schemas.openxmlformats.org/spreadsheetml/2006/main">
      <d:rPr>
        <d:sz val="11"/>
        <d:rFont val="Calibri"/>
      </d:rPr>
      <d:t xml:space="preserve">https://members.wto.org/crnattachments/2024/SPS/UGA/24_08414_00_e.pdf</d:t>
    </d:r>
  </si>
  <si>
    <t>Philippines</t>
  </si>
  <si>
    <t>Supplemental Guidelines for the Implementation of DAO 22-06, Series of 2022</t>
  </si>
  <si>
    <t>Tobacco, tobacco products and related equipment (ICS code(s): 65.160)</t>
  </si>
  <si>
    <t>24041 - - Products intended for inhalation without combustion :; 24041 - - Products intended for inhalation without combustion :</t>
  </si>
  <si>
    <d:r xmlns:d="http://schemas.openxmlformats.org/spreadsheetml/2006/main">
      <d:rPr>
        <d:sz val="11"/>
        <d:rFont val="Calibri"/>
      </d:rPr>
      <d:t xml:space="preserve">https://members.wto.org/crnattachments/2024/TBT/PHL/24_08411_00_e.pdf</d:t>
    </d:r>
  </si>
  <si>
    <t>Draft Resolution of the Cabinet of Ministers of Ukraine “On Approval of Technical Regulation on Medical Devices for In Vitro Diagnostics"</t>
  </si>
  <si>
    <t xml:space="preserve">The draft Technical Regulation on Medical Devices for In Vitro Diagnostics sets out rules for the placing on the market, making available, or putting into operation of medical devices for in vitro diagnostics intended for human use, as well as accessories for such devices. It also applies to efficacy studies conducted in Ukraine related to medical devices for in vitro diagnostic and their accessories. It has been developed based on Regulation (EU) 2017/746 of the European Parliament and of the Council of 5 April 2017 on in vitro diagnostic medical devices and repealing Directive 98/79/EC and Commission Decision 2010/227/EU.The draft Technical Regulation:_x000D_
1) details the responsibilities of manufacturers, authorized representatives, importers, distributors (suppliers), defines the role of the authorized representative, and distinguishes their functions and powers from those of importers and distributors;2) compared to the effective Technical Regulation on Medical Products for Diagnostics In Vitro, approved by the Resolution of the Cabinet of Ministers of Ukraine of 2 October 2013 No.754 sets stricter requirements for designated conformity assessment bodies and increases the level of control and monitoring of their activities by the authorized state bodies.3) changes the classification rules for some in vitro diagnostic medical devices and has a broader scope of application. Specifically, it introduces a classification of in vitro diagnostic medical devices by classes, depending on the associated risk: from A (for devices with low risk) to D (for devices with high risk). This classification will replace the two lists currently in effect, which only cover a small part of devices;4) regulates the sale of medical devices for in vitro diagnostics remotely using information and communication systems (in particular, via the Internet), which meets the current market needs. It also more specifically regulates and strengthens the requirements for efficacy studies of medical devices for in vitro diagnostics, post-market surveillance, post-market clinical surveillance (PMCF) and manufacturers' monitoring of their safety, as well as market surveillance by the state;5) provides for the establishment of the Unique Device Identification System (UDI system) for in vitro diagnostic medical devices to ensure traceability of their circulation throughout the entire supply chain and improve the effectiveness of their safety supervision. Each medical device for in vitro diagnostics will have a unique UDI code that will uniquely identify the manufacturer, device type, and product or batch number. It will also contribute to increased transparency in the medical device market by creating a database of medical devices, including in vitro diagnostic medical devices, information from which will be partially available to the public. The database of medical devices will include electronic systems such as the electronic device registration system, the UDI database, the electronic system for registration of business entities, the electronic system of designated bodies and certificates, the electronic system for efficacy studies, the electronic system for device vigilance and post-market surveillance, and the electronic system for market surveillance._x000D_
Before placing on the market medical devices for in vitro diagnostics of classes C and D, in addition to the studied devices, manufacturers will be required to compile a summary of safety and effectiveness covering key aspects of the devices' safety, effectiveness, and the results of their efficacy assessment, will be published on the manufacturer's website for public access and will also be made available in Eudamed. To monitor the already sold medical devices for in vitro diagnostics, manufacturers will need to implement a comprehensive post-market surveillance system that will become a part of their quality management system._x000D_
Another new feature is that distributors, importers, manufacturers and authorized representatives will be required to provide the regulatory authority with information on the entire supply chain of in vitro diagnostic medical devices. This includes details about: which entity they directly supplied the device to; which entity supplied them with the device, and to which healthcare facility or medical professional they directly supplied the device. In cases where such documentation cannot be provided, they will be solely responsible for the medical device concerned._x000D_
For export purposes and upon request by the manufacturer or authorized representative, a certificate of free sale will be issued, which verifies that the manufacturer or authorized representative, as applicable, has a registered place of business in Ukraine, and that the relevant device bears the conformity mark in accordance with this Technical Regulation and is authorized to be placed on the market._x000D_
The placing on the market and/or putting into operation of medical devices for in vitro diagnostics that comply with the requirements of the Technical Regulation on Medical Products for Diagnostics In Vitro, approved by the Resolution of the Cabinet of Ministers of Ukraine of 2 October 2013 No.754, and were placed on the market before the date of enactment of this Resolution, cannot be prohibited or restricted due to non-compliance with the Technical Regulation approved by this Resolution.</t>
  </si>
  <si>
    <t>Medical devices for in vitro diagnostics intended for human use and accessories to such devices</t>
  </si>
  <si>
    <t>11.100.10 - In vitro diagnostic test systems</t>
  </si>
  <si>
    <d:r xmlns:d="http://schemas.openxmlformats.org/spreadsheetml/2006/main">
      <d:rPr>
        <d:sz val="11"/>
        <d:rFont val="Calibri"/>
      </d:rPr>
      <d:t xml:space="preserve">https://members.wto.org/crnattachments/2024/TBT/UKR/24_08429_00_x.pdf
https://members.wto.org/crnattachments/2024/TBT/UKR/24_08429_01_x.pdf</d:t>
    </d:r>
  </si>
  <si>
    <t>DUS DARS 855:2024, Fresh tannia (nduma) — Specification, First edition</t>
  </si>
  <si>
    <t>This Draft Uganda Standard applies to the tubercles of commercial varieties of lilac tannia grown from Xanthosoma violaceum Schott and white tannia grown from Xanthosoma sagittifolium (L.) Schott, of the Araceae family, to be supplied fresh to the consumer, after preparation and packaging. Tannias for industrial processing are excluded.Note: This Draft Uganda Standard was also notified to the TBT Committee.</t>
  </si>
  <si>
    <t>Fresh or chilled vegetables n.e.s. (HS code(s): 070999); Vegetables and derived products (ICS code(s): 67.080.20); Fresh tannia</t>
  </si>
  <si>
    <t>070999 - Fresh or chilled vegetables n.e.s.</t>
  </si>
  <si>
    <d:r xmlns:d="http://schemas.openxmlformats.org/spreadsheetml/2006/main">
      <d:rPr>
        <d:sz val="11"/>
        <d:rFont val="Calibri"/>
      </d:rPr>
      <d:t xml:space="preserve">https://members.wto.org/crnattachments/2024/SPS/UGA/24_08404_00_e.pdf</d:t>
    </d:r>
  </si>
  <si>
    <t>DKS 3026: 2024 Crude avocado oil — Specification</t>
  </si>
  <si>
    <t>This Draft Kenya Standard specifies requirements, sampling and test methods for crude avocado oil derived from the fruit of the avocado (Persea americana) intended for further processing.</t>
  </si>
  <si>
    <t>ANIMAL, VEGETABLE OR MICROBIAL FATS AND OILS AND THEIR CLEAVAGE PRODUCTS; PREPARED EDIBLE FATS; ANIMAL OR VEGETABLE WAXES (HS code(s): 15); Animal and vegetable fats and oils (ICS code(s): 67.200.10)</t>
  </si>
  <si>
    <t>15 - ANIMAL, VEGETABLE OR MICROBIAL FATS AND OILS AND THEIR CLEAVAGE PRODUCTS; PREPARED EDIBLE FATS; ANIMAL OR VEGETABLE WAXES</t>
  </si>
  <si>
    <t>67.200.10 - Animal and vegetable fats and oils</t>
  </si>
  <si>
    <d:r xmlns:d="http://schemas.openxmlformats.org/spreadsheetml/2006/main">
      <d:rPr>
        <d:sz val="11"/>
        <d:rFont val="Calibri"/>
      </d:rPr>
      <d:t xml:space="preserve">https://members.wto.org/crnattachments/2024/TBT/KEN/24_08419_00_e.pdf</d:t>
    </d:r>
  </si>
  <si>
    <t>The Order of the Ministry of Agrarian Policy and Food of Ukraine No 3859 “On Amendments to the Order of the Ministry of Agrarian Policy and Food of Ukraine of 7 March 2023 No. 360” of 8 October 2024</t>
  </si>
  <si>
    <t xml:space="preserve">The Order introduces amendments to the Requirements for chicken eggs, as approved by the Order of the Ministry of Agrarian Policy and Food No. 360 of 7 March 2023, in terms of requirements for stamping and labelling of eggs, minimum shelf life of eggs, use of open-air runs, indication of 'eggs obtained from free-range laying hens'._x000D_
These amendments are aligned with Commission Delegated Regulation (EU) 2023/2464 of 17 August 2023 amending Regulation (EU) No 1308/2013 of the European Parliament and of the Council, as regards marketing standards for eggs and Commission Delegated Regulation (EU) 2023/2465 of 17 August 2023 supplementing Regulation (EU) No 1308/2013 of the European Parliament and of the Council as regards marketing standards for eggs, and repealing Commission Regulation (EC) No 589/2008._x000D_
The Order is also notified under the TBT Agreement. </t>
  </si>
  <si>
    <t>Chicken eggs</t>
  </si>
  <si>
    <t>0407 - Birds' eggs, in shell, fresh, preserved or cooked</t>
  </si>
  <si>
    <t>Human health; Food safety; Labelling</t>
  </si>
  <si>
    <d:r xmlns:d="http://schemas.openxmlformats.org/spreadsheetml/2006/main">
      <d:rPr>
        <d:sz val="11"/>
        <d:rFont val="Calibri"/>
      </d:rPr>
      <d:t xml:space="preserve">https://members.wto.org/crnattachments/2024/SPS/UKR/24_08393_00_e.pdf
https://members.wto.org/crnattachments/2024/SPS/UKR/24_08393_00_x.pdf
https://zakon.rada.gov.ua/laws/show/z1584-24#Text</d:t>
    </d:r>
  </si>
  <si>
    <t>DKS 3028: 2024 Crude canola (rapeseed) oil — Specification</t>
  </si>
  <si>
    <t>This Draft Kenya Standard specifies requirements, sampling and test methods for crude canola (rapeseed) oil derived from the seeds of Brassica napus L, Brassica rapa L, Brassica juncea L and Brassica tournefortii Gouan species intended for further processing.</t>
  </si>
  <si>
    <t>OIL SEEDS AND OLEAGINOUS FRUITS; MISCELLANEOUS GRAINS, SEEDS AND FRUIT; INDUSTRIAL OR MEDICINAL PLANTS; STRAW AND FODDER (HS code(s): 12); Animal and vegetable fats and oils (ICS code(s): 67.200.10)</t>
  </si>
  <si>
    <t>12 - OIL SEEDS AND OLEAGINOUS FRUITS; MISCELLANEOUS GRAINS, SEEDS AND FRUIT; INDUSTRIAL OR MEDICINAL PLANTS; STRAW AND FODDER</t>
  </si>
  <si>
    <d:r xmlns:d="http://schemas.openxmlformats.org/spreadsheetml/2006/main">
      <d:rPr>
        <d:sz val="11"/>
        <d:rFont val="Calibri"/>
      </d:rPr>
      <d:t xml:space="preserve">https://members.wto.org/crnattachments/2024/TBT/KEN/24_08420_00_e.pdf</d:t>
    </d:r>
  </si>
  <si>
    <t>Notice to importers of used secondhand Motor Vehicles</t>
  </si>
  <si>
    <t>Pursuant to the provision of KS 1515: 2000 -Kenya Standard Code of Practice for Inspection of Road Vehicles, and Legal Notice No. 78 OF 28th April 2020 - The Verification of Conformity to Kenya Standards of Imports Order, Kenya wishes to notify all importers of used / second-hand motor vehicles including returning residents, diplomatic staff and the general public that in observance of clause 2.5 of KS 1515:2000 on the eight (8) year age limit requirement, only Right-Hand Drive (RHD) motor vehicles whose Year of First Registration is from 1st January 2018 and later shall be allowed into the country effective 1st January 2025.</t>
  </si>
  <si>
    <t>Motor vehicles for the transport of goods, incl. chassis with engine and cab (HS code(s): 8704); Road vehicles engineering (ICS code(s): 43)</t>
  </si>
  <si>
    <t>8704 - Motor vehicles for the transport of goods, incl. chassis with engine and cab</t>
  </si>
  <si>
    <t>43 - Road vehicles engineering</t>
  </si>
  <si>
    <d:r xmlns:d="http://schemas.openxmlformats.org/spreadsheetml/2006/main">
      <d:rPr>
        <d:sz val="11"/>
        <d:rFont val="Calibri"/>
      </d:rPr>
      <d:t xml:space="preserve">https://members.wto.org/crnattachments/2024/TBT/KEN/24_08418_00_e.pdf</d:t>
    </d:r>
  </si>
  <si>
    <t>DUS DARS 472:2024, Fruits juices, nectars, puree and pulp — Specification, First edition</t>
  </si>
  <si>
    <t xml:space="preserve">This Draft Uganda Standard specifies requirements, sampling and test methods for fruit juices, nectars, puree and pulp intended for direct human consumption or for further processing.This standard also applies to the following fruit juices:_x000D_
a) concentrated fruit puree;_x000D_
b) concentrated fruit juices;_x000D_
c) fruit juice from concentrate;_x000D_
d) water extracted fruit juice;_x000D_
e) dehydrated fruit juice; and_x000D_
f) fruit juice powder.Note: This Draft Uganda Standard was also notified to the TBT Committee.</t>
  </si>
  <si>
    <t>Juice of fruit or vegetables, unfermented, whether or not containing added sugar or other sweetening matter (excl. containing spirit, mixtures, and juice of citrus fruit, pineapples, tomatoes, grapes, incl. grape must, apples and cranberries) (HS code(s): 200989); Fruits and derived products (ICS code(s): 67.080.10); fruit pulp; fruit puree; fruit nectar</t>
  </si>
  <si>
    <t>200989 - Juice of fruit or vegetables, unfermented, whether or not containing added sugar or other sweetening matter (excl. containing spirit, mixtures, and juice of citrus fruit, pineapples, tomatoes, grapes, incl. grape must, apples and cranberries)</t>
  </si>
  <si>
    <d:r xmlns:d="http://schemas.openxmlformats.org/spreadsheetml/2006/main">
      <d:rPr>
        <d:sz val="11"/>
        <d:rFont val="Calibri"/>
      </d:rPr>
      <d:t xml:space="preserve">https://members.wto.org/crnattachments/2024/SPS/UGA/24_08407_00_e.pdf</d:t>
    </d:r>
  </si>
  <si>
    <t>DKS 3029: 2024 Crude soya bean oil — Specification</t>
  </si>
  <si>
    <t>This Draft Kenya Standard specifies requirements, sampling and test methods for crude soya bean (soybean) oil derived from soya beans (seeds of Glycine max (L.) Merr.) intended for further processing.</t>
  </si>
  <si>
    <d:r xmlns:d="http://schemas.openxmlformats.org/spreadsheetml/2006/main">
      <d:rPr>
        <d:sz val="11"/>
        <d:rFont val="Calibri"/>
      </d:rPr>
      <d:t xml:space="preserve">https://members.wto.org/crnattachments/2024/TBT/KEN/24_08421_00_e.pdf</d:t>
    </d:r>
  </si>
  <si>
    <t xml:space="preserve">Review of New Source Performance Standards for Stationary 
Combustion Turbines and Stationary Gas Turbines</t>
  </si>
  <si>
    <t xml:space="preserve">Proposed rule - The Environmental Protection Agency (EPA) is proposing 
amendments to the Standards of Performance for new, modified, and 
reconstructed stationary combustion turbines and stationary gas 
turbines based on a review of available control technologies for 
limiting emissions of criteria air pollutants. This review of the new 
source performance standards (NSPS) is required by the Clean Air Act &gt;CAA). As a result of this review, the EPA is proposing to establish 
size-based subcategories for new, modified, and reconstructed 
stationary combustion turbines that also recognize distinctions between 
those that operate at varying loads or capacity factors and those 
firing natural gas or non-natural gas fuels. In general, the EPA is 
proposing that combustion controls with the addition of post-combustion 
selective catalytic reduction (SCR) is the best system of emission 
reduction (BSER) for limiting nitrogen oxide (NOX) emissions 
from this source category, with certain, limited exceptions. Based on 
the application of this BSER and other updates in technical 
information, the EPA is proposing to lower the NOX standards 
of performance for most of the stationary combustion turbines included 
in this source category. In addition, for new, modified, and 
reconstructed stationary combustion turbines that fire or co-fire 
hydrogen, the EPA is proposing to ensure that those sources are subject 
to the same level of control for NOX emissions as sources 
firing natural gas or non-natural gas fuels, depending on the 
percentage of hydrogen fuel being utilized. The EPA is proposing to 
maintain the current standards for sulfur dioxide (SO2) 
emissions, because after reviewing the current SO2 
standards, we propose to find that the use of low-sulfur fuels remains 
the BSER. Finally, the Agency is proposing amendments to address 
specific technical and editorial issues to clarify the existing 
regulations.</t>
  </si>
  <si>
    <t>Stationary combustion turbines and stationary gas turbines; Air quality (ICS code(s): 13.040); Internal combustion engines (ICS code(s): 27.020); Gas and steam turbines. Steam engines (ICS code(s): 27.040); Rotating machinery (ICS code(s): 29.160)</t>
  </si>
  <si>
    <t>13.040 - Air quality; 27.020 - Internal combustion engines; 27.040 - Gas and steam turbines. Steam engines; 29.160 - Rotating machinery</t>
  </si>
  <si>
    <d:r xmlns:d="http://schemas.openxmlformats.org/spreadsheetml/2006/main">
      <d:rPr>
        <d:sz val="11"/>
        <d:rFont val="Calibri"/>
      </d:rPr>
      <d:t xml:space="preserve">https://members.wto.org/crnattachments/2024/TBT/USA/24_08442_00_e.pdf</d:t>
    </d:r>
  </si>
  <si>
    <t>Amendments to Commission Implementing Regulation (EU) 2019/2072</t>
  </si>
  <si>
    <t>G/SPS/N/GBR/67 of 10 September 2024 notified planned amendments to England, Scotland and Wales (Great Britain) assimilated legislation (Commission Implementing Regulation (EU)2019/2072).  Following further risk assessment, it has been decided to exclude all Thuja spp. from the notified measures on wood that are due to come into force on 30 January 2025. The import of wood of Thuja spp. will continue under the current requirements.  </t>
  </si>
  <si>
    <t>All plants for planting;Plants (except seeds) of AbiesCalocedrus decurrensJuniperusLarixPicea Pinus Pseudotsuga menziesii ThujaWood and isolated bark of AbiesCalocedrus decurrens JuniperusLarixPiceaPinusPseudotsuga menziesiiThujaRoot and tubercle vegetables (other than Solanum tuberosumFruits of Fragaria L., Malus Mill., Persea americana Mill., Pyrus L., Rubus L., Vaccinium L., and Vitis L.;Plants of Asparagus officinalis L. other than stems covered during their entire life by soil. </t>
  </si>
  <si>
    <t>Plant health; Pests; Territory protection; Modification of content/scope of regulation; Pests; Territory protection; Plant health</t>
  </si>
  <si>
    <d:r xmlns:d="http://schemas.openxmlformats.org/spreadsheetml/2006/main">
      <d:rPr>
        <d:sz val="11"/>
        <d:rFont val="Calibri"/>
      </d:rPr>
      <d:t xml:space="preserve">https://members.wto.org/crnattachments/2024/SPS/GBR/24_08426_00_e.pdf</d:t>
    </d:r>
  </si>
  <si>
    <t>Reglamento Técnico que establece requisitos y características esenciales de calidad y seguridad que deberán cumplir los productos identificados como materiales para la construcción- Tableros compensados de madera (Technical Regulation establishing requirements and key criteria for the quality and safety of products identified as construction materials - plywood panels)</t>
  </si>
  <si>
    <t xml:space="preserve">Please be advised that a regulation supplementing Secretariat of Industry and Trade Resolution No. 236/2024, notified in document G/TBT/N/ARG/457, and approving the conformity assessment procedures and requirements for plywood panels listed in Annex II to the aforementioned Resolution, was issued pursuant to Order No. 2/2024 of the National Technical Regulation Directorate of the Secretariat of Industry and Trade.  1 This information can be provided by including a website address, a PDF attachment, or other information on where the text of the final measure/change to the measure/interpretative guidance can be obtained. G/TBT/N/ARG/457/Add.1 - 2 -   Punto Focal OTC-OMC Argentina (Argentine TBT-WTO Focal Point) Dirección Nacional de Reglamentos Técnicos (National Technical Regulation Directorate) Área Obstáculos Técnicos al Comercio (Technical Barriers to Trade Division) Av. Julio A. Roca N° 651 Of. 416 (C1067ABB) Buenos Aires, Argentina Email: focalotc@produccion.gob.ar __________</t>
  </si>
  <si>
    <t>Construction materials</t>
  </si>
  <si>
    <t>Protection of human health or safety (TBT); Quality requirements (TBT); Reducing trade barriers and facilitating trade (TBT)</t>
  </si>
  <si>
    <d:r xmlns:d="http://schemas.openxmlformats.org/spreadsheetml/2006/main">
      <d:rPr>
        <d:sz val="11"/>
        <d:rFont val="Calibri"/>
      </d:rPr>
      <d:t xml:space="preserve">https://members.wto.org/crnattachments/2024/TBT/ARG/modification/24_08438_00_s.pdf
https://members.wto.org/crnattachments/2024/TBT/ARG/modification/24_08438_01_s.pdf</d:t>
    </d:r>
  </si>
  <si>
    <t>DUS DARS 179:2024,  Jams, jellies and marmalades — Specification, First edition</t>
  </si>
  <si>
    <t xml:space="preserve">This Draft Uganda Standard specifies requirements, sampling and test methods for jams, jellies and marmalades intended for direct human consumption. This draft standard does not apply to:_x000D_
a) products when indicated as being intended for further processing such as those intended for use in the manufacture of fine bakery wares, pastries or biscuits;_x000D_
b) products which are clearly intended or labelled as intended for special dietary uses;_x000D_
c) reduced sugar products or those with a very low sugar content; and_x000D_
d) products where the foodstuffs with sweetening properties have been replaced wholly or partially by food additive sweeteners.Note: This Draft Uganda Standard was also notified to the TBT Committee.</t>
  </si>
  <si>
    <t>Jams, jellies, marmalades, purées or pastes of fruit, obtained by cooking, whether or not containing added sugar or other sweetening matter (excl. citrus fruit and homogenised preparations of subheading 2007.10) (HS code(s): 200799); Fruits and derived products (ICS code(s): 67.080.10)</t>
  </si>
  <si>
    <t>200799 - Jams, jellies, marmalades, purées or pastes of fruit, obtained by cooking, whether or not containing added sugar or other sweetening matter (excl. citrus fruit and homogenised preparations of subheading 2007.10)</t>
  </si>
  <si>
    <d:r xmlns:d="http://schemas.openxmlformats.org/spreadsheetml/2006/main">
      <d:rPr>
        <d:sz val="11"/>
        <d:rFont val="Calibri"/>
      </d:rPr>
      <d:t xml:space="preserve">https://members.wto.org/crnattachments/2024/SPS/UGA/24_08413_00_e.pdf</d:t>
    </d:r>
  </si>
  <si>
    <t xml:space="preserve">Chlorpyrifos; Final Cancellation Order for Certain Pesticide 
Registrations and Amendment of Certain Pesticide Registrations To 
Terminate Certain Uses </t>
  </si>
  <si>
    <t>The Environmental Protection Agency (EPA) hereby announces its final cancellation order for the cancellations and amendments to terminate uses voluntarily requested by the registrants and accepted by the Agency, of the chlorpyrifos products listed, pursuant to the Federal Insecticide, Fungicide, and Rodenticide Act (FIFRA). This final cancellation order follows a notice in the Federal Register of 15 July 2024, that announced EPA's receipt of and sought comments on requests from the registrants listed to voluntarily cancel or amend these product registrations. In the 15 July 2024, notice, EPA indicated that it would issue a final cancellation order implementing the requests, unless the Agency received substantive comments within the comment period that would merit further review of these requests, or unless the registrants withdrew their requests. The Agency received one comment on the notice, which is summarized. The registrants did not withdraw their requests for these voluntary cancellations and amendments. Accordingly, EPA hereby grants the requested cancellations and amendments to terminate uses as shown in this cancellation order. Any distribution, sale, or use of existing stocks of the products listed are subject to the existing stocks provisions in this cancellation order and permitted only in accordance with the terms of this order.</t>
  </si>
  <si>
    <t>Chlorpyrifos products listed </t>
  </si>
  <si>
    <d:r xmlns:d="http://schemas.openxmlformats.org/spreadsheetml/2006/main">
      <d:rPr>
        <d:sz val="11"/>
        <d:rFont val="Calibri"/>
      </d:rPr>
      <d:t xml:space="preserve">https://www.govinfo.gov/content/pkg/FR-2024-12-12/html/2024-29272.htm</d:t>
    </d:r>
  </si>
  <si>
    <t>Uruguay</t>
  </si>
  <si>
    <t>Proyecto de Decreto sobre el criterio microbiológico para alimentos listos para el consumo (Draft Decree on the microbiological criteria for ready-to-eat foods)</t>
  </si>
  <si>
    <t>The notified draft Decree defines the microbiological criteria for ready-to-eat foods unable to support the growth of Listeria monocytogenes and the microbiological criteria for ready-to-eat foods able to support the growth of Listeria monocytogenes, and amends the National Bromatological Regulations approved by Decree No. 315/994 of 5 July 1994 accordingly.</t>
  </si>
  <si>
    <t>Ready-to-eat foods</t>
  </si>
  <si>
    <t>Human health; Food safety; Listeria monocytogenes</t>
  </si>
  <si>
    <d:r xmlns:d="http://schemas.openxmlformats.org/spreadsheetml/2006/main">
      <d:rPr>
        <d:sz val="11"/>
        <d:rFont val="Calibri"/>
      </d:rPr>
      <d:t xml:space="preserve">https://members.wto.org/crnattachments/2024/SPS/URY/24_08431_00_s.pdf</d:t>
    </d:r>
  </si>
  <si>
    <t xml:space="preserve">Draft Regulatory Guide: Acceptability of ASME Code, Section III, 
Division 5, “High Temperature Reactors”</t>
  </si>
  <si>
    <t>Draft guide; request for comment - The U.S. Nuclear Regulatory Commission (NRC) is issuing for public comment a draft Regulatory Guide (DG), DG-1436, "Acceptability of ASME Code, Section III, Division 5, High Temperature Reactors"  This DG is proposed Revision 3 of Regulatory Guide (RG) 1.87, “Acceptability of ASME Code, Section III, Division 5, High Temperature Reactors,” and describes an approach that is acceptable to the staff of the NRC to assure the mechanical/structural integrity of components that operate in elevated temperature environments and that are subject to time-dependent material properties and failure modes. It endorses, with conditions, the 2023 Edition of the American Society of Mechanical Engineers (ASME) Boiler and Pressure Vessel (BPV) Code (ASME Code) Section III, “Rules for Construction of Nuclear Facility Components,” Division 5, High Temperature Reactors, and several related code cases.Submit comments by 27 January 2025. Comments received after this date will be considered if it is practical to do so, but the NRC is able to ensure consideration only for comments received on or before this date.</t>
  </si>
  <si>
    <t>High temperature reactors; Standardization. General rules (ICS code(s): 01.120); Reactor engineering (ICS code(s): 27.120.10)</t>
  </si>
  <si>
    <t>01.120 - Standardization. General rules; 27.120.10 - Reactor engineering</t>
  </si>
  <si>
    <d:r xmlns:d="http://schemas.openxmlformats.org/spreadsheetml/2006/main">
      <d:rPr>
        <d:sz val="11"/>
        <d:rFont val="Calibri"/>
      </d:rPr>
      <d:t xml:space="preserve">https://members.wto.org/crnattachments/2024/TBT/USA/24_08441_00_e.pdf</d:t>
    </d:r>
  </si>
  <si>
    <t>DKS 2199: 2024 : Plastics rainwater piping systems for above ground external use — Unplasticized Poly Vinyl Chloride (PVC-U) — Specification</t>
  </si>
  <si>
    <t>This Kenya Standard was prepared by the Plastics Pipes and Fittings Technical Committee under the guidance of the Standards Projects Committee, and it is in accordance with the procedures of the Kenya Bureau of Standards. The standard is one of the series of standards being developed in the country for the plastics rainwater piping systems for above ground external use which utilize the unplasticized poly (vinyl chloride) (PVC-U) materials. During the preparation of this standard, reference was made to the following document: BS EN 12200 Plastics rainwater piping systems for above ground external use — Unplasticized poly (vinyl chloride) (PVC-U) Part 1: Specifications for pipes, fittings and the system. Acknowledgement is hereby made for the assistance derived from this source. This second edition cancels and replaces the first edition of 2009 which has been technically revised. The main changes are: – allowing the use of recycled PVC-U material and the use of acrylic materials for both the outer layer of the pipes and the fittings. – the scope has been extended to cover pipes manufactured by multi-layer co-extrusion. – Normative Reference to EN standards have been updated to ISO standards. – Editorial changes have been made for clarity.</t>
  </si>
  <si>
    <t>Tubes, pipes and hoses, and fittings therefor, e.g. joints, elbows, flanges, of plastics (HS code(s): 3917); Plastics pipes (ICS code(s): 23.040.20)</t>
  </si>
  <si>
    <t>3917 - Tubes, pipes and hoses, and fittings therefor, e.g. joints, elbows, flanges, of plastics</t>
  </si>
  <si>
    <t>23.040.20 - Plastics pipes</t>
  </si>
  <si>
    <d:r xmlns:d="http://schemas.openxmlformats.org/spreadsheetml/2006/main">
      <d:rPr>
        <d:sz val="11"/>
        <d:rFont val="Calibri"/>
      </d:rPr>
      <d:t xml:space="preserve">https://members.wto.org/crnattachments/2024/TBT/KEN/24_08425_00_e.pdf</d:t>
    </d:r>
  </si>
  <si>
    <t>DUS DARS 833:2024, Fried banana chips — Specification,  First edition</t>
  </si>
  <si>
    <t>This Draft Uganda Standard specifies the requirements, method of sampling and tests for fried banana chips made from the cooking bananas of the Musa spp. intended for human consumption.Note: This Draft Uganda Standard was also notified to the TBT Committee.</t>
  </si>
  <si>
    <t>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 (HS code(s): 200899); Fried banana chips </t>
  </si>
  <si>
    <t>200899 - 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t>
  </si>
  <si>
    <d:r xmlns:d="http://schemas.openxmlformats.org/spreadsheetml/2006/main">
      <d:rPr>
        <d:sz val="11"/>
        <d:rFont val="Calibri"/>
      </d:rPr>
      <d:t xml:space="preserve">https://members.wto.org/crnattachments/2024/SPS/UGA/24_08406_00_e.pdf</d:t>
    </d:r>
  </si>
  <si>
    <t>Chlorpyrifos; Tolerance Revocation. Proposed rule</t>
  </si>
  <si>
    <t>EPA is proposing to revoke all tolerances for residues of chlorpyrifos, except for those associated with the use of chlorpyrifos on the following crops: alfalfa, apple, asparagus, tart cherry, citrus, cotton, peach, soybean, strawberry, sugar beet, and spring and winter wheat. This proposal also addresses the request to revoke all chlorpyrifos tolerances contained in the 12 September 2007, petition. </t>
  </si>
  <si>
    <t>Residues of chlorpyrifos, except for those associated with the use of chlorpyrifos on the following crops: alfalfa, apple, asparagus, tart cherry, citrus, cotton, peach, soybean, strawberry, sugar beet, and spring and winter wheat. </t>
  </si>
  <si>
    <t>Maximum residue limits (MRLs); Food safety; Human health</t>
  </si>
  <si>
    <d:r xmlns:d="http://schemas.openxmlformats.org/spreadsheetml/2006/main">
      <d:rPr>
        <d:sz val="11"/>
        <d:rFont val="Calibri"/>
      </d:rPr>
      <d:t xml:space="preserve">https://www.govinfo.gov/content/pkg/FR-2024-12-10/html/2024-28332.htm</d:t>
    </d:r>
  </si>
  <si>
    <t>DKS 3025: 2024 Cold formed non-structural steel hollow sections — Specification</t>
  </si>
  <si>
    <t>This Draft Standard specifies the requirements and sectional properties of cold formed non-structural steel hollow sections of thickness ≤4.00mm for use in non-structural applications.</t>
  </si>
  <si>
    <t>Steel structures (ICS code(s): 91.080.13)</t>
  </si>
  <si>
    <t>91.080.13 - Steel structures</t>
  </si>
  <si>
    <d:r xmlns:d="http://schemas.openxmlformats.org/spreadsheetml/2006/main">
      <d:rPr>
        <d:sz val="11"/>
        <d:rFont val="Calibri"/>
      </d:rPr>
      <d:t xml:space="preserve">https://members.wto.org/crnattachments/2024/TBT/KEN/24_08423_00_e.pdf</d:t>
    </d:r>
  </si>
  <si>
    <t>Oman</t>
  </si>
  <si>
    <t>Product Categories under the technical regulation on conformity scheme ( Omani Ministerial Decree 190/2021 )</t>
  </si>
  <si>
    <t>Product categories under the technical regulation on conformity scheme ( Omani Ministerial Decree 190/2021 ): Childcare, LV electrical, Gas appliances, Food contact material, Detergents, Paints, Building material, Ceramic tiles, sanitary ware, Pumps, Air compressors, Food processing machines, Lubricants, Lead acid batteries, Spare parts, PPE, Textiles, Cosmetics</t>
  </si>
  <si>
    <t>Several</t>
  </si>
  <si>
    <t>23.080 - Pumps; 23.140 - Compressors and pneumatic machines; 29.220 - Galvanic cells and batteries; 59.080 - Products of the textile industry; 67.020 - Processes in the food industry; 71.100 - Products of the chemical industry; 71.100.70 - Cosmetics. Toiletries; 75.100 - Lubricants, industrial oils and related products; 87.040 - Paints and varnishes; 91.100 - Construction materials; 91.100.23 - Ceramic tiles; 91.140.70 - Sanitary installations; 97.190 - Equipment for children</t>
  </si>
  <si>
    <d:r xmlns:d="http://schemas.openxmlformats.org/spreadsheetml/2006/main">
      <d:rPr>
        <d:sz val="11"/>
        <d:rFont val="Calibri"/>
      </d:rPr>
      <d:t xml:space="preserve">https://members.wto.org/crnattachments/2024/TBT/OMN/24_08440_00_e.pdf
https://members.wto.org/crnattachments/2024/TBT/OMN/24_08440_00_x.pdf</d:t>
    </d:r>
  </si>
  <si>
    <t>DKS 3027: 2024 Refined avocado oil — Specification</t>
  </si>
  <si>
    <t>This Draft Kenya Standard specifies requirements, sampling and test methods for refined avocado oil derived from the fruit of the avocado (Persea americana) intended for human consumption.</t>
  </si>
  <si>
    <d:r xmlns:d="http://schemas.openxmlformats.org/spreadsheetml/2006/main">
      <d:rPr>
        <d:sz val="11"/>
        <d:rFont val="Calibri"/>
      </d:rPr>
      <d:t xml:space="preserve">https://members.wto.org/crnattachments/2024/TBT/KEN/24_08422_00_e.pdf</d:t>
    </d:r>
  </si>
  <si>
    <t>Multiannual survey programmes, notifications concerning the presence of regulated non-quarantine pests, temporary derogations from import prohibitions and special import requirements and establishment of procedures for granting them, temporary import requirements for high-risk plants, plant products and other objects, the establishment of procedures for the listing of high-risk plants, the content of phytosanitary certificates and the use of plant passports, and as regards certain reporting requirements for demarcated areas and surveys of pests and amending Regulation (EU) 2017/625 as regards certain notifications of non-compliance</t>
  </si>
  <si>
    <t>The proposal notified in G/SPS/N/EU/694 (16 November 2023) is now adopted by Commission Regulation (EU) 2024/3115 of the European Parliament and of the Council of 27 November 2024 amending Regulation (EU) 2016/2031 as regards multiannual survey programmes, notifications concerning the presence of regulated non-quarantine pests, temporary derogations from import prohibitions and special import requirements and establishment of procedures for granting them, temporary import requirements for high-risk plants, plant products and other objects, the establishment of procedures for the listing of high-risk plants, the content of phytosanitary certificates and the use of plant passports, and as regards certain reporting requirements for demarcated areas and surveys of pests and amending Regulation (EU) 2017/625 as regards certain notifications of non-compliance.This Regulation enters into force on the twentieth day following that of its publication in the Official Journal of the European Union. However, the obligation for non-EU trading partners to specify under the heading “Additional Declaration”of the phytosanitary certificate the full wording of the specific requirement for regulated non-quarantine pests (RNQPs) that is fulfilled, applies from 6 July 2026ADDITIONAL INFORMATION:As a follow-up to the amendment of Regulation (EU) 2016/2031 of the European Parliament and of the Council on protective measures against pests, by Regulation (EU) 2024/3115, the European Commission invites all non-EU trading countries to consider the following when trading with the EU:From 6 July 2026 onwards, non-EU trading partners are requested to specify in full wording under the heading ‘Additional Declaration’ of the phytosanitary certificate, which of the measures prescribed in Annex V of Implementing Regulation (EU) 2019/2072 have been applied for compliance with an RNQP, when in that Annex different options are applicable. This obligation applies for each category of plants for planting when different categories are applicable. Before the entry into application of this requirement, The European Union will amend Annex V of Implementing Regulation (EU) 2019/2072, to facilitate the implementation of the provision by adjusting the wording and complementing the options (e.g. country freedom, pest free area etc.). The European Union will inform its non-EU trading partners when the amendment of Annex V will enter into force. The non-EU trading partners are advised to wait until after the amendment of Annex V of Implementing Regulation (EU) 2019/2072 enters into force, to adjust their databases. However, any consignment of plants which falls within the scope of Annex IV of Implementing Regulation (EU) 2019/2072, arriving to the European Union from 6 July 2026 onwards should be accompanied by a phytosanitary certificate which fulfils the requirement of an additional declaration regarding the measures for RNQPs.</t>
  </si>
  <si>
    <t>Plants, plant products and other objects (HS Chapters: 06 (live plants), 07 (vegetables), 08 (fruits), 10 (cereals), 12 (seeds), 14 (pollen), 44 (wood), 84 (machinery), 87 (vehicles))</t>
  </si>
  <si>
    <t>08 - EDIBLE FRUIT AND NUTS; PEEL OF CITRUS FRUIT OR MELONS; 07 - EDIBLE VEGETABLES AND CERTAIN ROOTS AND TUBERS; 06 - LIVE TREES AND OTHER PLANTS; BULBS, ROOTS AND THE LIKE; CUT FLOWERS AND ORNAMENTAL FOLIAGE; 10 - CEREALS; 12 - OIL SEEDS AND OLEAGINOUS FRUITS; MISCELLANEOUS GRAINS, SEEDS AND FRUIT; INDUSTRIAL OR MEDICINAL PLANTS; STRAW AND FODDER; 14 - VEGETABLE PLAITING MATERIALS; VEGETABLE PRODUCTS NOT ELSEWHERE SPECIFIED OR INCLUDED; 44 - WOOD AND ARTICLES OF WOOD; WOOD CHARCOAL; 84 - NUCLEAR REACTORS, BOILERS, MACHINERY AND MECHANICAL APPLIANCES; PARTS THEREOF; 87 - VEHICLES OTHER THAN RAILWAY OR TRAMWAY ROLLING STOCK, AND PARTS AND ACCESSORIES THEREOF; 14 - VEGETABLE PLAITING MATERIALS; VEGETABLE PRODUCTS NOT ELSEWHERE SPECIFIED OR INCLUDED; 12 - OIL SEEDS AND OLEAGINOUS FRUITS; MISCELLANEOUS GRAINS, SEEDS AND FRUIT; INDUSTRIAL OR MEDICINAL PLANTS; STRAW AND FODDER; 10 - CEREALS; 08 - EDIBLE FRUIT AND NUTS; PEEL OF CITRUS FRUIT OR MELONS; 07 - EDIBLE VEGETABLES AND CERTAIN ROOTS AND TUBERS; 06 - LIVE TREES AND OTHER PLANTS; BULBS, ROOTS AND THE LIKE; CUT FLOWERS AND ORNAMENTAL FOLIAGE; 44 - WOOD AND ARTICLES OF WOOD; WOOD CHARCOAL; 84 - NUCLEAR REACTORS, BOILERS, MACHINERY AND MECHANICAL APPLIANCES; PARTS THEREOF; 87 - VEHICLES OTHER THAN RAILWAY OR TRAMWAY ROLLING STOCK, AND PARTS AND ACCESSORIES THEREOF</t>
  </si>
  <si>
    <t>Pests; Plant health; Plant diseases; Adoption/publication/entry into force of reg.; Plant diseases; Pests; Plant health</t>
  </si>
  <si>
    <d:r xmlns:d="http://schemas.openxmlformats.org/spreadsheetml/2006/main">
      <d:rPr>
        <d:sz val="11"/>
        <d:rFont val="Calibri"/>
      </d:rPr>
      <d:t xml:space="preserve">https://members.wto.org/crnattachments/2024/SPS/EEC/24_08446_00_e.pdf
https://members.wto.org/crnattachments/2024/SPS/EEC/24_08446_00_f.pdf
https://members.wto.org/crnattachments/2024/SPS/EEC/24_08446_00_s.pdf</d:t>
    </d:r>
  </si>
  <si>
    <t>DUS DARS 171:2024, Processed tomato concentrates — Specification, First edition</t>
  </si>
  <si>
    <t>This Draft Uganda Standard specifies requirements, sampling and test methods for processed tomatoconcentrates (paste and puree)Note: This Draft Uganda Standard was also notified to the TBT Committee.</t>
  </si>
  <si>
    <t>Tomatoes, prepared or preserved otherwise than by vinegar or acetic acid (excl. whole or in pieces) (HS code(s): 200290); Vegetables and derived products (ICS code(s): 67.080.20); Processed tomato concentrates</t>
  </si>
  <si>
    <t>200290 - Tomatoes, prepared or preserved otherwise than by vinegar or acetic acid (excl. whole or in pieces)</t>
  </si>
  <si>
    <d:r xmlns:d="http://schemas.openxmlformats.org/spreadsheetml/2006/main">
      <d:rPr>
        <d:sz val="11"/>
        <d:rFont val="Calibri"/>
      </d:rPr>
      <d:t xml:space="preserve">https://members.wto.org/crnattachments/2024/SPS/UGA/24_08416_00_e.pdf</d:t>
    </d:r>
  </si>
  <si>
    <t>Draft of the Egyptian Standard ES 6000-1" Household refrigerating appliances –Characteristics and test methods - Part 1: General requirements”</t>
  </si>
  <si>
    <t xml:space="preserve">Products covered: ICS:  97.030 (Domestic electrical appliances in general)This addendum concerns the notification of the draft of the Egyptian Standard ES 6000-1 “Household refrigerating appliances –Characteristics and test methods - Part 1: General requirements "(101 pages in English).It should be noted that the Ministerial Decree No. 141/2018 (3 pages, in Arabic) which was formerly notified in G/TBT/N/EGY/157 dated 15 August 2016 , G/TBT/N/EGY/157/Add.1 dated 22 June  2017 , and the Ministerial Decree No. 477/2018 (3 pages, in Arabic) which was formerly notified in  G/TBT/N/EGY/157/Add.3 dated 4 September 2018 , mandated among others the earlier versions of this Standard.Worth mentioning is that this draft standard is technical identical with IEC 62552-:2015/AMD1:2020 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from:Egyptian Organization for Standardization and Quality_x000D_
16 Tadreeb El-Modarrebeen St., Ameriya, Cairo – Egypt_x000D_
E-mail: eos@eos.org.egeos.tbt@eos.org.eg_x000D_
Website: http://www.eos.org.eg_x000D_
Tel.: + (202) 22845528 _x000D_
Fax: + (202) 22845504 </t>
  </si>
  <si>
    <t>Household and similar electrical appliances</t>
  </si>
  <si>
    <t>33.160 - Audio, video and audiovisual engineering; 33.160 - Audio, video and audiovisual engineering; 97.030 - Domestic electrical appliances in general; 97.030 - Domestic electrical appliances in general; 97.040 - Kitchen equipment; 97.040 - Kitchen equipment; 97.060 - Laundry appliances; 97.060 - Laundry appliances; 97.100 - Domestic, commercial and industrial heating appliances; 97.100 - Domestic, commercial and industrial heating appliances; 97.170 - Body care equipment; 97.170 - Body care equipment</t>
  </si>
  <si>
    <t>DUS DARS 54:2024, Code of hygienic practice for canned fruit and vegetable products, First edition</t>
  </si>
  <si>
    <t>This Draft Uganda Standard applies to fruit and vegetable products which are packed in hermetically sealed containers and which are processed by heat either before or after being filled into the containers.Note: This Draft Uganda Standard was also notified to the TBT Committee</t>
  </si>
  <si>
    <t>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 (HS code(s): 200899); Fruits and derived products (ICS code(s): 67.080.10); fruit products; vegetable products</t>
  </si>
  <si>
    <d:r xmlns:d="http://schemas.openxmlformats.org/spreadsheetml/2006/main">
      <d:rPr>
        <d:sz val="11"/>
        <d:rFont val="Calibri"/>
      </d:rPr>
      <d:t xml:space="preserve">https://members.wto.org/crnattachments/2024/SPS/UGA/24_08415_00_e.pdf</d:t>
    </d:r>
  </si>
  <si>
    <t>The Order of the Ministry of Agrarian Policy and Food of Ukraine No 3859 "On Amendments to the Order of the Ministry of Agrarian Policy and Food of Ukraine of 07 March 2023 No. 360" of 08 October 2024</t>
  </si>
  <si>
    <t xml:space="preserve">The Order introduces amendments to the Requirements for chicken eggs, as approved by the Order of the Ministry of Agrarian Policy and Food No. 360 of 07 March 2023, in terms of requirements for stamping and labelling of eggs, minimum shelf life of eggs, use of open-air runs, indication of 'eggs obtained from free-range laying hens'._x000D_
These amendments are aligned with Commission Delegated Regulation (EU) 2023/2464 of 17 August 2023 amending Regulation (EU) No 1308/2013 of the European Parliament and of the Council, as regards marketing standards for eggs and Commission Delegated Regulation (EU) 2023/2465 of 17 August 2023 supplementing Regulation (EU) No 1308/2013 of the European Parliament and of the Council as regards marketing standards for eggs, and repealing Commission Regulation (EC) No 589/2008._x000D_
The Order is also notified under the SPS Agreement. </t>
  </si>
  <si>
    <t>67.120.20 - Poultry and eggs</t>
  </si>
  <si>
    <d:r xmlns:d="http://schemas.openxmlformats.org/spreadsheetml/2006/main">
      <d:rPr>
        <d:sz val="11"/>
        <d:rFont val="Calibri"/>
      </d:rPr>
      <d:t xml:space="preserve">https://members.wto.org/crnattachments/2024/TBT/UKR/24_08417_00_e.pdf
https://members.wto.org/crnattachments/2024/TBT/UKR/24_08417_00_x.pdf</d:t>
    </d:r>
  </si>
  <si>
    <t>The Official Controls (Import of High-Risk Food and Feed of Non-Animal Origin) (Amendment of Commission Implementing Regulation (EU) 2019/1793) (England) (No. 2) Regulations 2024; The Official Controls (Import of High Risk Food and Feed of Non-Animal Origin) Amendment (Scotland) (No. 2) Regulations 2024; The Official Controls (Import of High-Risk Food and Feed of Non-Animal Origin) (Amendment of Commission Implementing Regulation (EU) 2019/1793) (No. 2) (Wales) Regulations 2024</t>
  </si>
  <si>
    <t>G/SPS/N/GBR/63 of 24 June 2024 notified draft legislative amendments to the temporary increase of official controls applicable to certain food and feed of non-animal origin entering Great Britain from the countries listed in Annexes I and II to assimilated Regulation 2019/1793. The Regulations introducing these amendments have now been published and are available below: The Official Controls (Import of High-Risk Food and Feed of Non-Animal Origin) (Amendment of Commission Implementing Regulation 2019/1793 (England) (No.2) Regulations 2024The Official Controls (Import of High Risk Food and Feed of Non-Animal Origin) Amendment (Scotland) (No. 2) Regulations 2024The Official Controls (Import of High-Risk Food and Feed of Non-Animal Origin) (Amendment of Commission Implementing Regulation (EU) 2019/1793) (No.2) (Wales) Regulations 2024</t>
  </si>
  <si>
    <t>HS Code(s): 1202 41 00; 1202 42 00; 2008 11 10; 2008 11 91; 2008 11 96; 2008 11 98; 2305 00 00; ex1208 90 00 20; ex2007 10 10 80; ex2007 10 99 50; ex2007 99 39 07; ex2007 99 39 08; 0902; ex0810 90 20 40; ex0810 90 20 50; 0803 90; ex0813 50 39 70; ex0813 50 91 70; ex0813 50 99 70; ex2007 10 10 70; ex2007 10 99 40; ex2007 99 39 05; ex2007 99 39 06; ex2007 99 50 33; ex2007 99 97 23; ex2008 19 12 30; ex2008 19 92 30; ex2008 97 12 15; ex2008 97 14 15; ex2008 97 16 15; ex2008 97 18 15; ex2008 97 32 15; ex2008 97 34 15; ex2008 97 36 15; ex2008 97 38 15; ex2008 97 51 15; ex2008 97 59 15; ex2008 97 72 15; ex2008 97 74 15; ex2008 97 76 15; ex2008 97 78 15; ex2008 97 92 15; ex2008 97 93 15; ex2008 97 94 15; ex2008 97 96 15; ex2008 97 97 15; ex2008 97 98 15; ex1515 90 99 20; 0909 31 00; 0909 32 00; ex0910 99 10; ex0708 20 00 10; ex0710 22 00 10; ex1302 32 90; 0908 11 00; 0908 12 00; 0904 21 10; ex0904 22 00 11; ex0904 22 00 19; ex0904 21 90 20; ex2005 99 10 10; ex2005 99 10 90; ex2005 99 80 94; ex1211 90 86 20; ex1211 90 86 30; 0709 99 90 35; ex0805 40 00; 1207 40 90; ex1704 90 99 12; ex1704 90 99 92; ex1806 20 95 13; ex1806 20 95 93; ex1806 90 50 10; ex1806 90 60 11; ex1806 90 60 91; ex2008 19 19 40; ex2008 19 99 40</t>
  </si>
  <si>
    <t>070820 - Fresh or chilled beans "Vigna spp., Phaseolus spp.", shelled or unshelled; 200819 - Nuts and other seeds, incl. mixtures, prepared or preserved (excl. prepared or preserved with vinegar, preserved with sugar but not laid in syrup, jams, fruit jellies, marmalades, fruit purée and pastes, obtained by cooking, and groundnuts); 200811 - Groundnuts, prepared or preserved (excl. preserved with sugar); 200799 - Jams, jellies, marmalades, purées or pastes of fruit, obtained by cooking, whether or not containing added sugar or other sweetening matter (excl. citrus fruit and homogenised preparations of subheading 2007.10); 200710 - Homogenised preparations of jams, jellies, marmalades, fruit or nut purées and nut pastes, obtained by cooking, whether or not containing added sugar or other sweetening matter, put up for retail sale as infant food or for dietetic purposes, in containers of &lt;= 250 g; 200599 - 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 180690 - Chocolate and other preparations containing cocoa, in containers or immediate packings of &lt;= 2 kg (excl. in blocks, slabs or bars and cocoa powder); 180620 - Chocolate and other food preparations containing cocoa, in blocks, slabs or bars weighing &gt; 2 kg or in liquid, paste, powder, granular or other bulk form, in containers or immediate packings of a content &gt; 2 kg (excl. cocoa powder); 170490 - Sugar confectionery not containing cocoa, incl. white chocolate (excl. chewing gum); 151590 - Fixed vegetable fats and oils and their fractions, whether or not refined, but not chemically modified (excl. soya-bean, groundnut, olive, palm, sunflower-seed, safflower, cotton-seed, coconut, palm kernel, babassu, rape, colza and mustard, linseed, maize, castor and sesame oil and microbial oils); 130232 - Mucilages and thickeners, derived from locust beans, locust bean seeds or guar seeds, whether or not modified; 121190 - Plants, parts of plants, incl. seeds and fruits, used primarily in perfumery, in pharmacy or for insecticidal, fungicidal or similar purposes, fresh, chilled, frozen or dried, whether or not cut, crushed or powdered (excl. ginseng roots, coca leaf, poppy straw, ephedra and bark of African cherry); 120890 - Flours and meal of oil seeds or oleaginous fruit (excl. soya and mustard); 120740 - Sesamum seeds, whether or not broken; 120242 - Groundnuts, shelled, whether or not broken (excl. seed for sowing, roasted or otherwise cooked); 120241 - Groundnuts, in shell (excl. seed for sowing, roasted or otherwise cooked); 091099 - Spices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and mixtures of various types of spices); 090932 - Cumin seeds, crushed or ground; 090931 - Cumin seeds, neither crushed nor ground; 090812 - Nutmeg, crushed or ground; 090811 - Nutmeg, neither crushed nor ground; 090422 - Fruits of the genus Capsicum or of the genus Pimenta, crushed or ground; 090421 - Fruits of the genus Capsicum or of the genus Pimenta, dried, neither crushed nor ground; 0902 - Tea, whether or not flavoured; 081350 - Mixtures of nuts or dried fruits; 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080540 - Fresh or dried grapefruit and pomelos; 080390 - Fresh or dried bananas (excl. plantains); 071022 - Shelled or unshelled beans "Vigna spp., Phaseolus spp.", uncooked or cooked by steaming or by boiling in water, frozen; 070999 - Fresh or chilled vegetables n.e.s.; 200897 - Mixtures of fruits, nuts and other edible parts of plants, prepared or preserved, whether or not containing added sugar or other sweetening matter or spirit (excl. mixtures of nuts, groundnuts and other seeds and preparations of the Müsli type based on unroasted cereal flakes of subheading 1904.20.10, and prepared or preserved with vinegar, preserved with sugar but not laid in syrup, jams, fruit jellies, marmalades, fruit purée and pastes, obtained by cooking); 230500 - Oilcake and other solid residues, whether or not ground or in the form of pellets, resulting from the extraction of groundnut oil; 230500 - Oilcake and other solid residues, whether or not ground or in the form of pellets, resulting from the extraction of groundnut oil; 070999 - Fresh or chilled vegetables n.e.s.; 071022 - Shelled or unshelled beans "Vigna spp., Phaseolus spp.", uncooked or cooked by steaming or by boiling in water, frozen; 080390 - Fresh or dried bananas (excl. plantains); 080540 - Fresh or dried grapefruit and pomelos; 081350 - Mixtures of nuts or dried fruits; 090421 - Fruits of the genus Capsicum or of the genus Pimenta, dried, neither crushed nor ground; 090422 - Fruits of the genus Capsicum or of the genus Pimenta, crushed or ground; 090811 - Nutmeg, neither crushed nor ground; 090812 - Nutmeg, crushed or ground; 090932 - Cumin seeds, crushed or ground; 200819 - Nuts and other seeds, incl. mixtures, prepared or preserved (excl. prepared or preserved with vinegar, preserved with sugar but not laid in syrup, jams, fruit jellies, marmalades, fruit purée and pastes, obtained by cooking, and groundnuts); 091099 - Spices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and mixtures of various types of spices); 120740 - Sesamum seeds, whether or not broken; 121190 - Plants, parts of plants, incl. seeds and fruits, used primarily in perfumery, in pharmacy or for insecticidal, fungicidal or similar purposes, fresh, chilled, frozen or dried, whether or not cut, crushed or powdered (excl. ginseng roots, coca leaf, poppy straw, ephedra and bark of African cherry); 130232 - Mucilages and thickeners, derived from locust beans, locust bean seeds or guar seeds, whether or not modified; 151590 - Fixed vegetable fats and oils and their fractions, whether or not refined, but not chemically modified (excl. soya-bean, groundnut, olive, palm, sunflower-seed, safflower, cotton-seed, coconut, palm kernel, babassu, rape, colza and mustard, linseed, maize, castor and sesame oil and microbial oils); 170490 - Sugar confectionery not containing cocoa, incl. white chocolate (excl. chewing gum); 180620 - Chocolate and other food preparations containing cocoa, in blocks, slabs or bars weighing &gt; 2 kg or in liquid, paste, powder, granular or other bulk form, in containers or immediate packings of a content &gt; 2 kg (excl. cocoa powder); 180690 - Chocolate and other preparations containing cocoa, in containers or immediate packings of &lt;= 2 kg (excl. in blocks, slabs or bars and cocoa powder); 200599 - 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 070820 - Fresh or chilled beans "Vigna spp., Phaseolus spp.", shelled or unshelled; 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0902 - Tea, whether or not flavoured; 120241 - Groundnuts, in shell (excl. seed for sowing, roasted or otherwise cooked); 120242 - Groundnuts, shelled, whether or not broken (excl. seed for sowing, roasted or otherwise cooked); 120890 - Flours and meal of oil seeds or oleaginous fruit (excl. soya and mustard); 200710 - Homogenised preparations of jams, jellies, marmalades, fruit or nut purées and nut pastes, obtained by cooking, whether or not containing added sugar or other sweetening matter, put up for retail sale as infant food or for dietetic purposes, in containers of &lt;= 250 g; 200799 - Jams, jellies, marmalades, purées or pastes of fruit, obtained by cooking, whether or not containing added sugar or other sweetening matter (excl. citrus fruit and homogenised preparations of subheading 2007.10); 200811 - Groundnuts, prepared or preserved (excl. preserved with sugar); 090931 - Cumin seeds, neither crushed nor ground; 200897 - Mixtures of fruits, nuts and other edible parts of plants, prepared or preserved, whether or not containing added sugar or other sweetening matter or spirit (excl. mixtures of nuts, groundnuts and other seeds and preparations of the Müsli type based on unroasted cereal flakes of subheading 1904.20.10, and prepared or preserved with vinegar, preserved with sugar but not laid in syrup, jams, fruit jellies, marmalades, fruit purée and pastes, obtained by cooking)</t>
  </si>
  <si>
    <t>Bacteria; Salmonella; Aflatoxins; Toxins; Food safety; Human health; Adoption/publication/entry into force of reg.; Contaminants; Contaminants; Human health; Food safety; Toxins; Aflatoxins; Salmonella; Bacteria</t>
  </si>
  <si>
    <t>DUS DARS 834:2024, Dried fruits — Specification, First edition</t>
  </si>
  <si>
    <t xml:space="preserve">This Draft Uganda Standard specifies requirements, sampling and test methods for dried fruits intended for direct human consumption or for other use in the food industry.This Draft Uganda Standard is not applicable to dried fruits listed below:_x000D_
a) dried apples_x000D_
b) dried pears_x000D_
c) dried peaches_x000D_
d) dried sweet cherries_x000D_
e) dried mulberries_x000D_
f) dried Barberry_x000D_
g) dried rosehipsNote: This Draft Uganda Standard was also notified to the TBT Committee.</t>
  </si>
  <si>
    <t>Mixtures of nuts or dried fruits (HS code(s): 081350); Fruits and derived products (ICS code(s): 67.080.10)</t>
  </si>
  <si>
    <d:r xmlns:d="http://schemas.openxmlformats.org/spreadsheetml/2006/main">
      <d:rPr>
        <d:sz val="11"/>
        <d:rFont val="Calibri"/>
      </d:rPr>
      <d:t xml:space="preserve">https://members.wto.org/crnattachments/2024/SPS/UGA/24_08405_00_e.pdf</d:t>
    </d:r>
  </si>
  <si>
    <t>A new GB MRL for propamocarb amending the GB MRL Statutory Register </t>
  </si>
  <si>
    <t>An application was received by the Health and Safety Executive to set a new MRL for propamocarb in honey. Following assessment, a new MRL has been introduced to set an import tolerance. The Evaluation Report/Reasoned Opinion supporting the new MRL is available at the following link. The new MRL is available within this document, see page 6:  The evaluation of a new MRL for propamocarb in or on honeyThe residue levels arising in food from the notified uses result in consumer exposures below the toxicological reference values and therefore harmful effects on human health are not expected.</t>
  </si>
  <si>
    <t>Products (and associated GB commodity codes*):Honey and other apiculture products (1040000)†† This MRL applies to honey only. * For reference, the full list of GB commodity codes is set out in Part 1 of the GB pesticides Maximum Residue Level Statutory Register – see link</t>
  </si>
  <si>
    <t>Food safety; Human health; Maximum residue limits (MRLs)</t>
  </si>
  <si>
    <d:r xmlns:d="http://schemas.openxmlformats.org/spreadsheetml/2006/main">
      <d:rPr>
        <d:sz val="11"/>
        <d:rFont val="Calibri"/>
      </d:rPr>
      <d:t xml:space="preserve">https://members.wto.org/crnattachments/2024/SPS/GBR/24_08427_00_e.pdf</d:t>
    </d:r>
  </si>
  <si>
    <t>DUS DARS 934:2024, Dasheen leaves — Specification, First edition</t>
  </si>
  <si>
    <t>This Draft Uganda Standard specifies the requirement of dasheen leaves (Colocasia esculenta) for the consumer.Note: This Draft Uganda Standard was also notified to the TBT Committee.</t>
  </si>
  <si>
    <t>- Other: (HS code(s): 07099); Taro "Colocasia spp.", fresh, chilled, frozen or dried, whether or not sliced or in the form of pellets (HS code(s): 071440); Vegetables and derived products (ICS code(s): 67.080.20); Dasheen leaves</t>
  </si>
  <si>
    <t>07099 - - Other:; 071440 - Taro "Colocasia spp.", fresh, chilled, frozen or dried, whether or not sliced or in the form of pellets</t>
  </si>
  <si>
    <d:r xmlns:d="http://schemas.openxmlformats.org/spreadsheetml/2006/main">
      <d:rPr>
        <d:sz val="11"/>
        <d:rFont val="Calibri"/>
      </d:rPr>
      <d:t xml:space="preserve">https://members.wto.org/crnattachments/2024/SPS/UGA/24_08402_00_e.pdf</d:t>
    </d:r>
  </si>
  <si>
    <t>DUS DARS 850:2024, Potato crisps — Specification, first edition</t>
  </si>
  <si>
    <t>This Draft Uganda Standard specifies requirements and methods of sampling and test for crisps made from potato tubers (Solanum tuberosum LNote: This Draft Uganda Standard was also notified to the TBT Committee.</t>
  </si>
  <si>
    <t>Potatoes, prepared or preserved otherwise than by vinegar or acetic acid (excl. frozen) (HS code(s): 200520); Vegetables and derived products (ICS code(s): 67.080.20); Potato crisps</t>
  </si>
  <si>
    <t>200520 - Potatoes, prepared or preserved otherwise than by vinegar or acetic acid (excl. frozen)</t>
  </si>
  <si>
    <d:r xmlns:d="http://schemas.openxmlformats.org/spreadsheetml/2006/main">
      <d:rPr>
        <d:sz val="11"/>
        <d:rFont val="Calibri"/>
      </d:rPr>
      <d:t xml:space="preserve">https://members.wto.org/crnattachments/2024/SPS/UGA/24_08403_00_e.pdf</d:t>
    </d:r>
  </si>
  <si>
    <t>DKS 3024:2024 Solar Dryer - Code of practice for Installation</t>
  </si>
  <si>
    <t>This standard gives technical specification to guide in the installation of solar dryers to be used for drying different types of farm products including but not limited to cereals, vegetables, fruits, tubers, herbs, coffee berries, tea leaves, nuts, meat, fish and animal feeds.</t>
  </si>
  <si>
    <t>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 (HS code(s): 8419); Solar energy engineering (ICS code(s): 27.160)</t>
  </si>
  <si>
    <t>8419 - 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t>
  </si>
  <si>
    <t>27.160 - Solar energy engineering</t>
  </si>
  <si>
    <d:r xmlns:d="http://schemas.openxmlformats.org/spreadsheetml/2006/main">
      <d:rPr>
        <d:sz val="11"/>
        <d:rFont val="Calibri"/>
      </d:rPr>
      <d:t xml:space="preserve">https://members.wto.org/crnattachments/2024/TBT/KEN/24_08424_00_e.pdf</d:t>
    </d:r>
  </si>
  <si>
    <t>Modifying Emissions Limits for the 24.25-24.45 GHz and 24.75- 25.25 GHz Bands</t>
  </si>
  <si>
    <t xml:space="preserve">In this document, the Federal Communications Commission (Commission) revises the Commission's rules for the 24.25-24.45 GHz and 24.75-25.25 GHz bands (collectively, the 24 GHz band) to implement certain decisions made in the World Radiocommunication Conference held by the International Telecommunication Union (ITU) in 2019 (WRC-19). Specifically, the Commission aligns part 30 of the Commission's rules for mobile operations in these frequencies with the Resolution 750 limits adopted at WRC-19 to protect the passive 23.6-24.0 GHz band from unwanted emissions on the timeframes adopted at WRC-19.Effective date: This rule is effective 13 January 2025.89 Federal Register (FR) 100856, 13 December 2024; Title 47 Code of Federal Regulations (CFR) Parts 2 and 30_x000D_
https://www.govinfo.gov/content/pkg/FR-2024-12-13/html/2024-29313.htm_x000D_
https://www.govinfo.gov/content/pkg/FR-2024-12-13/pdf/2024-29313.pdfThis final rule is identified by ET Docket No. 21-186FCC 24-124. Documents are also accessible from the FCC's Electronic Document Management System (EDOCS) by searching the ET Docket Number. Comments ("filings") posted by the FCC in the Electronic Comment Filing System (ECFS) are accessible at https://www.fcc.gov/ecfs/search/search-filings/results?q=(submissiontype.description:(%22COMMENT%22)+AND+proceedings.name:(%2221-186%22))_x000D_
_x000D_
</t>
  </si>
  <si>
    <t>Emission limits 24.25-24.45 GHz and 24.75- 25.25 GHz bands; Radiocommunications (ICS code(s): 33.060); Mobile services in general (ICS code(s): 33.070.01); Electromagnetic compatibility (EMC) (ICS code(s): 33.100)</t>
  </si>
  <si>
    <t>33.060 - Radiocommunications; 33.070.01 - Mobile services in general; 33.100 - Electromagnetic compatibility (EMC); 33.060 - Radiocommunications; 33.070.01 - Mobile services in general; 33.100 - Electromagnetic compatibility (EMC)</t>
  </si>
  <si>
    <t>Prevention of deceptive practices and consumer protection (TBT); Harmonization (TBT)</t>
  </si>
  <si>
    <d:r xmlns:d="http://schemas.openxmlformats.org/spreadsheetml/2006/main">
      <d:rPr>
        <d:sz val="11"/>
        <d:rFont val="Calibri"/>
      </d:rPr>
      <d:t xml:space="preserve">https://members.wto.org/crnattachments/2024/TBT/USA/final_measure/24_08437_00_e.pdf
https://members.wto.org/crnattachments/2024/TBT/USA/final_measure/24_08437_01_e.pdf</d:t>
    </d:r>
  </si>
  <si>
    <t>Reglamento Técnico que establece requisitos y características esenciales de calidad y seguridad que deberán cumplir los productos identificados como materiales para la construcción- Productos de Acero (Technical Regulation establishing requirements and key criteria for the quality and safety of products identified as construction materials - steel products)</t>
  </si>
  <si>
    <t xml:space="preserve">Please be advised that a regulation supplementing Secretariat of Industry and Trade Resolution No. 236/2024, notified in document G/TBT/N/ARG/457, and approving the conformity assessment procedures and requirements for steel products listed in Annex II to the aforementioned Resolution, was issued pursuant to Order No. 3/2024 of the National Technical Regulation Directorate of the Secretariat of Industry and Trade.  1 This information can be provided by including a website address, a PDF attachment, or other information on where the text of the final measure/change to the measure/interpretative guidance can be obtained. G/TBT/N/ARG/457/Add.2 - 2 -   Punto Focal OTC-OMC Argentina (Argentine TBT-WTO Focal Point) Dirección Nacional de Reglamentos Técnicos (National Technical Regulation Directorate) Área Obstáculos Técnicos al Comercio (Technical Barriers to Trade Division) Av. Julio A. Roca N° 651 Of. 416 (C1067ABB) Buenos Aires, Argentina Email: focalotc@produccion.gob.ar __________</t>
  </si>
  <si>
    <d:r xmlns:d="http://schemas.openxmlformats.org/spreadsheetml/2006/main">
      <d:rPr>
        <d:sz val="11"/>
        <d:rFont val="Calibri"/>
      </d:rPr>
      <d:t xml:space="preserve">https://members.wto.org/crnattachments/2024/TBT/ARG/modification/24_08439_00_s.pdf
https://members.wto.org/crnattachments/2024/TBT/ARG/modification/24_08439_01_s.pdf</d:t>
    </d:r>
  </si>
  <si>
    <t>Spectrum Sharing Rules for NGSO Fixed-Satellite Service Systems</t>
  </si>
  <si>
    <t xml:space="preserve">In this document, the Federal Communications Commission (FCC or Commission) clarifies the methodology to be used in compatibility analyses by non-geostationary satellite orbit (NGSO) fixed-satellite service (FSS) system licensees. The Second Report and Order adopts specific degraded throughput methodology criteria that NGSO FSS systems licensed in a later processing round must include in compatibility analyses, in absence of a coordination agreement, to demonstrate that they can operate compatibly with and protect NGSO FSS systems authorized in earlier processing rounds. The Second Report and Order clarifies these methodologies to promote market entry, regulatory certainty, and spectrum efficiency through good-faith coordination. The Commission also adopts an Order on Reconsideration dismissing in part and, on alternative and independent grounds, denying a petition for reconsideration.Effective on 13 January 2025.89 Federal Register (FR) 100898, 13 December 2024; Title 47 Code of Federal Regulations (CFR) Part 25_x000D_
https://www.govinfo.gov/content/pkg/FR-2024-12-13/html/2024-28993.htm_x000D_
https://www.govinfo.gov/content/pkg/FR-2024-12-13/pdf/2024-28993.pdf_x000D_
https://docs.fcc.gov/public/attachments/FCC-24-117A1.pdfThis final rule; denial of reconsideration is identified by IB Docket No. 21-456FCC 24-117. Documents are also accessible from the FCC's Electronic Document Management System (EDOCS) by searching the IB Docket Number. Comments ("filings") posted by the FCC in the Electronic Comment Filing System (ECFS) are accessible at https://www.fcc.gov/ecfs/search/search-filings/results?q=(proceedings.name:(%2221-456%22))_x000D_
</t>
  </si>
  <si>
    <t>Non-geostationary satellite orbit, fixed-satellite service (NGSO FSS);  Aircraft and space vehicles in general (ICS code(s): 49.020); Space systems and operations (ICS code(s): 49.140)</t>
  </si>
  <si>
    <t>49.020 - Aircraft and space vehicles in general; 49.140 - Space systems and operations; 49.020 - Aircraft and space vehicles in general; 49.140 - Space systems and operations</t>
  </si>
  <si>
    <t>Prevention of deceptive practices and consumer protection (TBT); Harmonization (TBT); Cost saving and productivity enhancement (TBT)</t>
  </si>
  <si>
    <d:r xmlns:d="http://schemas.openxmlformats.org/spreadsheetml/2006/main">
      <d:rPr>
        <d:sz val="11"/>
        <d:rFont val="Calibri"/>
      </d:rPr>
      <d:t xml:space="preserve">https://members.wto.org/crnattachments/2024/TBT/USA/final_measure/24_08435_00_e.pdf
https://members.wto.org/crnattachments/2024/TBT/USA/final_measure/24_08435_01_e.pdf</d:t>
    </d:r>
  </si>
  <si>
    <t>DARS 1061:2024,Coffee premix — Specification,First Edition.Note: This Draft Tanzania Standard was also notified under SPS committee</t>
  </si>
  <si>
    <t>This  Draft African Standard specifies the requirements, sampling, and test methods for coffee Premix intended for human consumption.</t>
  </si>
  <si>
    <t>Coffee, whether or not roasted or decaffeinated; coffee husks and skins; coffee substitutes containing coffee in any proportion (HS code(s): 0901); Coffee and coffee substitutes (ICS code(s): 67.140.20)</t>
  </si>
  <si>
    <t>0901 - Coffee, whether or not roasted or decaffeinated; coffee husks and skins; coffee substitutes containing coffee in any proportion</t>
  </si>
  <si>
    <t>67.140.20 - Coffee and coffee substitutes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</si>
  <si>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</si>
  <si>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d:r xmlns:d="http://schemas.openxmlformats.org/spreadsheetml/2006/main">
      <d:rPr>
        <d:sz val="11"/>
        <d:rFont val="Calibri"/>
      </d:rPr>
      <d:t xml:space="preserve">https://members.wto.org/crnattachments/2024/TBT/TZA/24_08359_00_e.pdf</d:t>
    </d:r>
  </si>
  <si>
    <t>DUS DARS 2113: 2024, Dried vegetables and herbs for food use — Specification, First edition</t>
  </si>
  <si>
    <t>This Draft Uganda Standard specifies requirements and methods of sampling and test for dried vegetables and herbs for food use, offered for direct consumption or further processing, including for catering purposes or for repackaging, if required. This standard does not apply to vegetables powder/flour and herbs for which specific standards have been declared.Note: This Draft Uganda Standard was also notified to the TBT Committee.</t>
  </si>
  <si>
    <t>Dried vegetables and mixtures of vegetables, whole, cut, sliced, broken or in powder, but not further prepared (excl. onions, mushrooms and truffles, not mixed) (HS code(s): 071290); Vegetables and derived products (ICS code(s): 67.080.20); Dried herbs for food use</t>
  </si>
  <si>
    <t>071290 - Dried vegetables and mixtures of vegetables, whole, cut, sliced, broken or in powder, but not further prepared (excl. onions, mushrooms and truffles, not mixed)</t>
  </si>
  <si>
    <d:r xmlns:d="http://schemas.openxmlformats.org/spreadsheetml/2006/main">
      <d:rPr>
        <d:sz val="11"/>
        <d:rFont val="Calibri"/>
      </d:rPr>
      <d:t xml:space="preserve">https://members.wto.org/crnattachments/2024/SPS/UGA/24_08396_00_e.pdf</d:t>
    </d:r>
  </si>
  <si>
    <t>DUS DARS 850:2024, Potato crisps — Specification, first editionNote: This Draft Uganda Standard was also notified to the SPS Committee.</t>
  </si>
  <si>
    <t>This Draft Uganda Standard specifies requirements and methods of sampling and test for crisps made from potato tubers (Solanum tuberosum L.)</t>
  </si>
  <si>
    <t>Consumer information, labelling (TBT); Prevention of deceptive practices and consumer protection (TBT); Protection of human health or safety (TBT); Quality requirements (TBT); Harmonization (TBT); Reducing trade barriers and facilitating trade (TBT)</t>
  </si>
  <si>
    <d:r xmlns:d="http://schemas.openxmlformats.org/spreadsheetml/2006/main">
      <d:rPr>
        <d:sz val="11"/>
        <d:rFont val="Calibri"/>
      </d:rPr>
      <d:t xml:space="preserve">https://members.wto.org/crnattachments/2024/TBT/UGA/24_08381_00_e.pdf</d:t>
    </d:r>
  </si>
  <si>
    <t>DUS DARS 976:2024, Fresh cucumbers — Specification, First editionNote: This Draft Uganda Standard was also notified to the SPS Committee.</t>
  </si>
  <si>
    <t>This Draft Uganda Standard applies to cucumbers of varieties (cultivars) grown from Cucumis sativus L. to be supplied fresh to the consumer, cucumbers for processing and gherkins being excluded.</t>
  </si>
  <si>
    <t>Cucumbers and gherkins, fresh or chilled. (HS code(s): 0707); Vegetables and derived products (ICS code(s): 67.080.20)</t>
  </si>
  <si>
    <t>0707 - Cucumbers and gherkins, fresh or chilled.</t>
  </si>
  <si>
    <d:r xmlns:d="http://schemas.openxmlformats.org/spreadsheetml/2006/main">
      <d:rPr>
        <d:sz val="11"/>
        <d:rFont val="Calibri"/>
      </d:rPr>
      <d:t xml:space="preserve">https://members.wto.org/crnattachments/2024/TBT/UGA/24_08376_00_e.pdf</d:t>
    </d:r>
  </si>
  <si>
    <t>Food Date Labeling</t>
  </si>
  <si>
    <t xml:space="preserve">Request for Information - FSIS and FDA (we, the agencies) are seeking public input on 
food date labeling. This Request for Information seeks information on 
industry practices and preferences for date labeling, research results 
on consumer perceptions of date labeling, and any impact date labeling 
may have on food waste.</t>
  </si>
  <si>
    <t>Food date labeling; Processes in the food industry (ICS code(s): 67.020); Food products in general (ICS code(s): 67.040)</t>
  </si>
  <si>
    <t>67.020 - Processes in the food industry; 67.040 - Food products in general</t>
  </si>
  <si>
    <d:r xmlns:d="http://schemas.openxmlformats.org/spreadsheetml/2006/main">
      <d:rPr>
        <d:sz val="11"/>
        <d:rFont val="Calibri"/>
      </d:rPr>
      <d:t xml:space="preserve">https://members.wto.org/crnattachments/2024/TBT/USA/24_08410_00_e.pdf</d:t>
    </d:r>
  </si>
  <si>
    <t>DUS DARS 179:2024,  Jams, jellies and marmalades — Specification, First editionNote: This Draft Uganda Standard was also notified to the SPS Committee.</t>
  </si>
  <si>
    <t xml:space="preserve">This Draft Uganda Standard specifies requirements, sampling and test methods for jams, jellies and marmalades intended for direct human consumption. This draft standard does not apply to:_x000D_
a) products when indicated as being intended for further processing such as those intended for use in the manufacture of fine bakery wares, pastries or biscuits;_x000D_
b) products which are clearly intended or labelled as intended for special dietary uses;_x000D_
c) reduced sugar products or those with a very low sugar content; and_x000D_
d) products where the foodstuffs with sweetening properties have been replaced wholly or partially by food additive sweeteners.</t>
  </si>
  <si>
    <d:r xmlns:d="http://schemas.openxmlformats.org/spreadsheetml/2006/main">
      <d:rPr>
        <d:sz val="11"/>
        <d:rFont val="Calibri"/>
      </d:rPr>
      <d:t xml:space="preserve">https://members.wto.org/crnattachments/2024/TBT/UGA/24_08385_00_e.pdf</d:t>
    </d:r>
  </si>
  <si>
    <t>DUS DARS 1019:2024, Ginger drink — Specification, First edition</t>
  </si>
  <si>
    <t>This Draft Uganda Standard specifies requirements and methods of sampling and test for non-alcoholic ginger drink intended for direct human consumption. Ginger drink that is carbonated or alcoholic is excluded from the scope of this standard.Note: This Draft Uganda Standard was also notified to the TBT Committee.</t>
  </si>
  <si>
    <t>Food preparations, n.e.s. (HS code(s): 210690); Vegetables and derived products (ICS code(s): 67.080.20); Ginger drink</t>
  </si>
  <si>
    <t>210690 - Food preparations, n.e.s.</t>
  </si>
  <si>
    <d:r xmlns:d="http://schemas.openxmlformats.org/spreadsheetml/2006/main">
      <d:rPr>
        <d:sz val="11"/>
        <d:rFont val="Calibri"/>
      </d:rPr>
      <d:t xml:space="preserve">https://members.wto.org/crnattachments/2024/SPS/UGA/24_08397_00_e.pdf</d:t>
    </d:r>
  </si>
  <si>
    <d:r xmlns:d="http://schemas.openxmlformats.org/spreadsheetml/2006/main">
      <d:rPr>
        <d:sz val="11"/>
        <d:rFont val="Calibri"/>
      </d:rPr>
      <d:t xml:space="preserve">https://members.wto.org/crnattachments/2024/SPS/KEN/24_08395_00_e.pdf</d:t>
    </d:r>
  </si>
  <si>
    <t> DARS 1071:2024,Flavoured Black Tea — Specification,First Edition.Note: This Draft Tanzania Standard was also notified under SPS committee</t>
  </si>
  <si>
    <t>This Draft African Standard specifies requirements, sampling and test methods for flavoured black tea intended for human consumption. </t>
  </si>
  <si>
    <t>Tea, whether or not flavoured (HS code(s): 0902); Tea (ICS code(s): 67.140.10)</t>
  </si>
  <si>
    <t>0902 - Tea, whether or not flavoured</t>
  </si>
  <si>
    <t>67.140.10 - Tea</t>
  </si>
  <si>
    <d:r xmlns:d="http://schemas.openxmlformats.org/spreadsheetml/2006/main">
      <d:rPr>
        <d:sz val="11"/>
        <d:rFont val="Calibri"/>
      </d:rPr>
      <d:t xml:space="preserve">https://members.wto.org/crnattachments/2024/TBT/TZA/24_08364_00_e.pdf</d:t>
    </d:r>
  </si>
  <si>
    <t>DUS DARS 833:2024, Fried banana chips — Specification,  First editionNote: This Draft Uganda Standard was also notified to the SPS Committee.</t>
  </si>
  <si>
    <t>This Draft Uganda Standard specifies the requirements, method of sampling and tests for fried banana chips made from the cooking bananas of the Musa spp intended for human consumption.</t>
  </si>
  <si>
    <t>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 (HS code(s): 200899); Fruits and derived products (ICS code(s): 67.080.10); Fried banana chips</t>
  </si>
  <si>
    <d:r xmlns:d="http://schemas.openxmlformats.org/spreadsheetml/2006/main">
      <d:rPr>
        <d:sz val="11"/>
        <d:rFont val="Calibri"/>
      </d:rPr>
      <d:t xml:space="preserve">https://members.wto.org/crnattachments/2024/TBT/UGA/24_08383_00_e.pdf</d:t>
    </d:r>
  </si>
  <si>
    <t>Leprino Nutrition; Filing of Food Additive Petition; Notification of Petition</t>
  </si>
  <si>
    <t>The Food and Drug Administration (FDA or we) is announcing that we have filed a petition, submitted by Leprino Nutrition, proposing that the food additive regulations be amended to provide for the safe use of ultraviolet light for the reduction of microorganisms in whey products.The food additive petition was filed on 22 November 2024.</t>
  </si>
  <si>
    <t>Whey, whether or not concentrated or containing added sugar or other sweetening matter; products consisting of natural milk constituents, whether or not containing added sugar or other sweetening matter, n.e.s. (HS code(s): 0404); Food technology (ICS code(s): 67)</t>
  </si>
  <si>
    <t>0404 - Whey, whether or not concentrated or containing added sugar or other sweetening matter; products consisting of natural milk constituents, whether or not containing added sugar or other sweetening matter, n.e.s.</t>
  </si>
  <si>
    <d:r xmlns:d="http://schemas.openxmlformats.org/spreadsheetml/2006/main">
      <d:rPr>
        <d:sz val="11"/>
        <d:rFont val="Calibri"/>
      </d:rPr>
      <d:t xml:space="preserve">https://members.wto.org/crnattachments/2024/SPS/USA/24_08392_00_e.pdf
https://www.federalregister.gov/documents/2024/12/12/2024-29248/leprino-nutrition-filing-of-food-additive-petition</d:t>
    </d:r>
  </si>
  <si>
    <t>DUS DARS 974:2024, Fresh beans — Specification, First editionNote: This Draft Uganda Standard was also notified to the SPS Committee.</t>
  </si>
  <si>
    <t>This Draft Uganda Standard applies to beans of varieties (cultivars) grown from Phaseolus vulgaris L. and Phaseolus coccineus L. to be supplied fresh to the consumer, beans for shelling or industrial processing being excluded.</t>
  </si>
  <si>
    <t>Fresh or chilled beans "Vigna spp., Phaseolus spp.", shelled or unshelled (HS code(s): 070820); Vegetables and derived products (ICS code(s): 67.080.20)</t>
  </si>
  <si>
    <t>070820 - Fresh or chilled beans "Vigna spp., Phaseolus spp.", shelled or unshelled</t>
  </si>
  <si>
    <d:r xmlns:d="http://schemas.openxmlformats.org/spreadsheetml/2006/main">
      <d:rPr>
        <d:sz val="11"/>
        <d:rFont val="Calibri"/>
      </d:rPr>
      <d:t xml:space="preserve">https://members.wto.org/crnattachments/2024/TBT/UGA/24_08377_00_e.pdf</d:t>
    </d:r>
  </si>
  <si>
    <t>DUS DARS 55:2024, Production, handling and processing of dried fruits and vegetables — Code of practice, First editionNote: This Draft Uganda Standard  was also notified to the SPS Committee.</t>
  </si>
  <si>
    <t>This Draft Uganda Standard applies to fruits and vegetables that have been dried by natural or artificial means or a combination of both. This draft standard does not apply to fruits and vegetables commonly known as "Dehydrated fruits and vegetables" with moisture content not exceeding 5 %.</t>
  </si>
  <si>
    <t>Mixtures of nuts or dried fruits (HS code(s): 081350); Fruits, vegetables and derived products in general (ICS code(s): 67.080.01)</t>
  </si>
  <si>
    <t>67.080.01 - Fruits, vegetables and derived products in general</t>
  </si>
  <si>
    <d:r xmlns:d="http://schemas.openxmlformats.org/spreadsheetml/2006/main">
      <d:rPr>
        <d:sz val="11"/>
        <d:rFont val="Calibri"/>
      </d:rPr>
      <d:t xml:space="preserve">https://members.wto.org/crnattachments/2024/TBT/UGA/24_08386_00_e.pdf</d:t>
    </d:r>
  </si>
  <si>
    <t>DUS DARS 472:2024, Fruits juices, nectars, puree and pulp — Specification, First editionNote: This Draft Uganda Standard was also notified to the SPS Committee.</t>
  </si>
  <si>
    <t xml:space="preserve">This Draft Uganda Standard specifies requirements, sampling and test methods for fruit juices, nectars, puree and pulp intended for direct human consumption or for further processing._x000D_
This standard also applies to the following fruit juices:_x000D_
a) concentrated fruit puree;_x000D_
b) concentrated fruit juices;_x000D_
c) fruit juice from concentrate;_x000D_
d) water extracted fruit juice;_x000D_
e) dehydrated fruit juice; and_x000D_
f) fruit juice powder.</t>
  </si>
  <si>
    <d:r xmlns:d="http://schemas.openxmlformats.org/spreadsheetml/2006/main">
      <d:rPr>
        <d:sz val="11"/>
        <d:rFont val="Calibri"/>
      </d:rPr>
      <d:t xml:space="preserve">https://members.wto.org/crnattachments/2024/TBT/UGA/24_08384_00_e.pdf</d:t>
    </d:r>
  </si>
  <si>
    <t>Certain Existing Chemicals; Request To Submit Unpublished Health and Safety Data Under the Toxic Substances Control Act (TSCA)</t>
  </si>
  <si>
    <t xml:space="preserve">The Environmental Protection Agency (EPA or Agency) is finalizing the Health and Safety Reporting Rule under the Toxic Substance Control Act (TSCA) to require manufacturers (including importers) of the sixteen chemical substances identified in this rulemaking to submit copies and lists of certain unpublished health and safety studies to EPA. Health and safety studies sought by this action will inform EPA actions in carrying out its responsibilities pursuant to TSCA, including prioritization, risk evaluation, and risk management.This rule is effective on 13 January 2025.89 Federal Register (FR) 100756, 13 March 2024; Title 40 Code of Federal Regulations (CFR) Part 716_x000D_
https://www.govinfo.gov/content/pkg/FR-2024-12-13/html/2024-29406.htm_x000D_
https://www.govinfo.gov/content/pkg/FR-2024-12-13/pdf/2024-29406.pdfThis final rule and the proposed rule notified as G/TBT/N/USA/2107 are identified by Docket Number EPA-HQ-OPPT-2023-0360. The Docket Folder is available on Regulations.gov at https://www.regulations.gov/docket/EPA-HQ-OPPT-2023-0360/document and provides access to primary documents and supporting materials as well as comments received. Documents are also accessible from Regulations.gov by searching the Docket Number. </t>
  </si>
  <si>
    <t>Certain existing chemicals; Environmental protection (ICS code(s): 13.020); Protection against dangerous goods (ICS code(s): 13.300); Production in the chemical industry (ICS code(s): 71.020); Products of the chemical industry (ICS code(s): 71.100)</t>
  </si>
  <si>
    <t>13.020 - Environmental protection; 13.300 - Protection against dangerous goods; 71.020 - Production in the chemical industry; 71.100 - Products of the chemical industry; 13.020 - Environmental protection; 13.300 - Protection against dangerous goods; 71.020 - Production in the chemical industry; 71.100 - Products of the chemical industry</t>
  </si>
  <si>
    <d:r xmlns:d="http://schemas.openxmlformats.org/spreadsheetml/2006/main">
      <d:rPr>
        <d:sz val="11"/>
        <d:rFont val="Calibri"/>
      </d:rPr>
      <d:t xml:space="preserve">https://members.wto.org/crnattachments/2024/TBT/USA/final_measure/24_08408_00_e.pdf</d:t>
    </d:r>
  </si>
  <si>
    <t>Hong Kong, China</t>
  </si>
  <si>
    <t>Consultation Document on Proposed Amendments to the Food Adulteration (Metallic Contamination) Regulations (Cap.132V)</t>
  </si>
  <si>
    <t>With a view to better protecting public health, facilitating effective regulation and promoting harmonisation between local and international standards, the Government of the Hong Kong Special Administrative Region proposes, through legislative amendments, to update the Food Adulteration (Metallic Contamination) Regulations (Cap. 132V, Laws of Hong Kong). The proposed amendments aim to keep abreast of international development on maximum levels (MLs) of metallic contaminants in food by adding twenty-seven new MLs for specified metal in specified food (food pair) and updating nine MLs for existing food pairs, with reference to latest standards of Codex Alimentarius Commission (Codex) and major food importing places.</t>
  </si>
  <si>
    <t>Food for human consumption</t>
  </si>
  <si>
    <t>Human health; Food safety; Contaminants</t>
  </si>
  <si>
    <d:r xmlns:d="http://schemas.openxmlformats.org/spreadsheetml/2006/main">
      <d:rPr>
        <d:sz val="11"/>
        <d:rFont val="Calibri"/>
      </d:rPr>
      <d:t xml:space="preserve">In English:
https://www.cfs.gov.hk/english/whatsnew/whatsnew_fstr/whatsnew_fstr_PA_Food_Adulteration_Metallic_Contamination_2.html
In Chinese:
https://www.cfs.gov.hk/tc_chi/whatsnew/whatsnew_fstr/whatsnew_fstr_PA_Food_Adulteration_Metallic_Contamination_2.html
</d:t>
    </d:r>
  </si>
  <si>
    <t>Notice of Administration Order of Saudi Food and Drug Authority Ref. No. 27511 dated 12 December 2024 entitled “Temporary ban on importation of poultry meat, eggs and their products originating from Mazowieckie and Warmińsko-Mazurskie in Poland”</t>
  </si>
  <si>
    <t xml:space="preserve">Following to the notice of the Poland chief veterinary officer dated 27 November 2024, a Highly Pathogenic Avian Influenza (HPAI) virus outbreak has occurred in Mazowieckie and Warmińsko-Mazurskie in Poland. In compliance with the World Organisation for Animal Health (WOAH), Terrestrial Animal Health Code Chapter 10.4, it is deemed necessary for the Kingdom of Saudi Arabia to prevent the entry of the HPAI virus into the country. Therefore, the import of poultry meat, eggs and their products from Mazowieckie and Warmińsko-Mazurskie in Poland to the Kingdom of Saudi Arabia is temporarily suspended (with the exception of processed poultry meat and egg products exposed to either heat or other treatments that ensure deactivation of the HPAI virus, as long as it conforms with the approved health requirements, and standards, with a health certificate issued by the official bodies in Poland prove that the product is free from the virus)._x000D_
</t>
  </si>
  <si>
    <t>Human health; Animal health; Food safety; Animal diseases; Pest- or Disease- free Regions / Regionalization; Zoonoses; Avian Influenza</t>
  </si>
  <si>
    <t>Poland</t>
  </si>
  <si>
    <d:r xmlns:d="http://schemas.openxmlformats.org/spreadsheetml/2006/main">
      <d:rPr>
        <d:sz val="11"/>
        <d:rFont val="Calibri"/>
      </d:rPr>
      <d:t xml:space="preserve">https://members.wto.org/crnattachments/2024/SPS/SAU/24_08390_00_x.pdf</d:t>
    </d:r>
  </si>
  <si>
    <t> DARS 1815:2024, COCOA BUTTER — Specification,First EditionNote: This Draft Tanzania Standard was also notified under SPS committee</t>
  </si>
  <si>
    <t>This Draft  African Standard specifies the quality and safety requirements, storage conditions, sampling and referenced test methods for Cocoa Butter.</t>
  </si>
  <si>
    <t>Cocoa butter, fat and oil. (HS code(s): 1804); Cocoa (ICS code(s): 67.140.30)</t>
  </si>
  <si>
    <t>1804 - Cocoa butter, fat and oil.</t>
  </si>
  <si>
    <t>67.140.30 - Cocoa</t>
  </si>
  <si>
    <d:r xmlns:d="http://schemas.openxmlformats.org/spreadsheetml/2006/main">
      <d:rPr>
        <d:sz val="11"/>
        <d:rFont val="Calibri"/>
      </d:rPr>
      <d:t xml:space="preserve">https://members.wto.org/crnattachments/2024/TBT/TZA/24_08373_00_e.pdf</d:t>
    </d:r>
  </si>
  <si>
    <t>DUS DARS 1023:2024, Hibiscus drink — Specification,  First edition</t>
  </si>
  <si>
    <t>This Draft Uganda Standard specifies requirements and methods of sampling and test for non-alcoholic hibiscus drink intended for direct human consumption.Note: This Draft Uganda Standard was also notified to the TBT Committee.</t>
  </si>
  <si>
    <t>Food preparations, n.e.s. (HS code(s): 210690); Vegetables and derived products (ICS code(s): 67.080.20); Hibiscus drink </t>
  </si>
  <si>
    <d:r xmlns:d="http://schemas.openxmlformats.org/spreadsheetml/2006/main">
      <d:rPr>
        <d:sz val="11"/>
        <d:rFont val="Calibri"/>
      </d:rPr>
      <d:t xml:space="preserve">https://members.wto.org/crnattachments/2024/SPS/UGA/24_08398_00_e.pdf</d:t>
    </d:r>
  </si>
  <si>
    <t>DARS 1818:2024,Cocoa mass (liquor) — specification,First Edition.Note: This Draft Tanzania Standard was also notified under SPS committee</t>
  </si>
  <si>
    <t>This African Standard specifies the quality and safety requirements as well as packaging and labelling for cocoa mass (liquor) intended for human consumption.</t>
  </si>
  <si>
    <t>Cocoa paste, wholly or partly defatted (HS code(s): 180320); Cocoa (ICS code(s): 67.140.30)</t>
  </si>
  <si>
    <t>180320 - Cocoa paste, wholly or partly defatted</t>
  </si>
  <si>
    <d:r xmlns:d="http://schemas.openxmlformats.org/spreadsheetml/2006/main">
      <d:rPr>
        <d:sz val="11"/>
        <d:rFont val="Calibri"/>
      </d:rPr>
      <d:t xml:space="preserve">https://members.wto.org/crnattachments/2024/TBT/TZA/24_08375_00_e.pdf</d:t>
    </d:r>
  </si>
  <si>
    <t>DUS DARS 54:2024, Code of hygienic practice for canned fruit and vegetable products, First editionNote: This Draft Uganda Standard was also notified to the SPS Committee.</t>
  </si>
  <si>
    <t>This Draft Uganda Standard applies to fruit and vegetable products which are packed in hermetically sealed containers and which are processed by heat either before or after being filled into the containers.</t>
  </si>
  <si>
    <t>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 (HS code(s): 200899); Fruits, vegetables and derived products in general (ICS code(s): 67.080.01); fruit products; vegetable products</t>
  </si>
  <si>
    <d:r xmlns:d="http://schemas.openxmlformats.org/spreadsheetml/2006/main">
      <d:rPr>
        <d:sz val="11"/>
        <d:rFont val="Calibri"/>
      </d:rPr>
      <d:t xml:space="preserve">https://members.wto.org/crnattachments/2024/TBT/UGA/24_08387_00_e.pdf</d:t>
    </d:r>
  </si>
  <si>
    <t>DUS DARS 855:2024, Fresh tannia (nduma) — Specification, First editionNote: This Draft Uganda Standard was also notified to the SPS</t>
  </si>
  <si>
    <t>This Draft Uganda Standard applies to the tubercles of commercial varieties of lilac tannia grown from Xanthosoma violaceum Schott and white tannia grown from Xanthosoma sagittifolium (L.) Schott, of the Araceae family, to be supplied fresh to the consumer, after preparation and packaging. Tannias for industrial processing are excluded.</t>
  </si>
  <si>
    <d:r xmlns:d="http://schemas.openxmlformats.org/spreadsheetml/2006/main">
      <d:rPr>
        <d:sz val="11"/>
        <d:rFont val="Calibri"/>
      </d:rPr>
      <d:t xml:space="preserve">https://members.wto.org/crnattachments/2024/TBT/UGA/24_08380_00_e.pdf</d:t>
    </d:r>
  </si>
  <si>
    <t>DUS DARS 934:2024, Dasheen leaves — Specification, First editionNote: This Draft Uganda Standard was also notified to the SPS Committee.</t>
  </si>
  <si>
    <t>This Draft Uganda Standard specifies the requirement of dasheen leaves (Colocasia esculenta) for the consumer.</t>
  </si>
  <si>
    <d:r xmlns:d="http://schemas.openxmlformats.org/spreadsheetml/2006/main">
      <d:rPr>
        <d:sz val="11"/>
        <d:rFont val="Calibri"/>
      </d:rPr>
      <d:t xml:space="preserve">https://members.wto.org/crnattachments/2024/TBT/UGA/24_08379_00_e.pdf</d:t>
    </d:r>
  </si>
  <si>
    <t>DUS DARS 948:2024, Fresh ginger — Specification, First editionNote: This Draft Uganda Standard was also notified to the SPS Committee.</t>
  </si>
  <si>
    <t>This Draft Uganda Standard applies to the rhizome of commercial varieties of ginger grown from Zingiber officinale Roscoe, of the Zingiberaceae family, to be supplied fresh to the consumer, after preparation and packaging. Ginger for industrial processing is excluded</t>
  </si>
  <si>
    <d:r xmlns:d="http://schemas.openxmlformats.org/spreadsheetml/2006/main">
      <d:rPr>
        <d:sz val="11"/>
        <d:rFont val="Calibri"/>
      </d:rPr>
      <d:t xml:space="preserve">https://members.wto.org/crnattachments/2024/TBT/UGA/24_08378_00_e.pdf</d:t>
    </d:r>
  </si>
  <si>
    <t>DUS DARS 976:2024, Fresh cucumbers — Specification, First edition</t>
  </si>
  <si>
    <t>This Draft Uganda Standard applies to cucumbers of varieties (cultivars) grown from Cucumis sativus L. to be supplied fresh to the consumer, cucumbers for processing and gherkins being excluded.This Draft Uganda Standard was also notified to the TBT Committee.</t>
  </si>
  <si>
    <t>Cucumbers and gherkins, fresh or chilled. (HS code(s): 0707); Vegetables and derived products (ICS code(s): 67.080.20); Fresh cucumbers</t>
  </si>
  <si>
    <d:r xmlns:d="http://schemas.openxmlformats.org/spreadsheetml/2006/main">
      <d:rPr>
        <d:sz val="11"/>
        <d:rFont val="Calibri"/>
      </d:rPr>
      <d:t xml:space="preserve">https://members.wto.org/crnattachments/2024/SPS/UGA/24_08400_00_e.pdf</d:t>
    </d:r>
  </si>
  <si>
    <t>DARS 1822:2024,Flavoured coffee — Specification,First Edition.Note: This Draft Tanzania Standard was also notified under SPS committee</t>
  </si>
  <si>
    <t>This Draft African Standard specifies the requirements, sampling and test methods for flavoured coffee intended for human consumption</t>
  </si>
  <si>
    <d:r xmlns:d="http://schemas.openxmlformats.org/spreadsheetml/2006/main">
      <d:rPr>
        <d:sz val="11"/>
        <d:rFont val="Calibri"/>
      </d:rPr>
      <d:t xml:space="preserve">https://members.wto.org/crnattachments/2024/TBT/TZA/24_08360_00_e.pdf</d:t>
    </d:r>
  </si>
  <si>
    <t>Draft Order of the Ministry of Health of Ukraine “On Approval of Amendments to the Procedure for Confirmation of Compliance of Manufacturing Conditions of Medicines  with the Requirements of Good Manufacturing Practice”</t>
  </si>
  <si>
    <t>The draft Order has been developed to enhance the procedures for confirming the compliance of medicine manufacturing conditions with Good Manufacturing Practice (GMP) requirements.It proposes streamlining the process for submitting and reviewing applications for issuance of the conclusion on the confirmation of the compliance and a certificate of compliance with GMP requirements. This optimization includes reducing the list of required documents, based on the specific nature of each procedure.The draft Order also specifies the procedure for addressing any discrepancies by the Applicant (or the Applicant's representative), setting reasonable timeframes that will not be included in the overall period for issuing the conclusion or the GMP compliance certificate.</t>
  </si>
  <si>
    <t>11.120 - Pharmaceutics</t>
  </si>
  <si>
    <t>Revision to Regular Notification</t>
  </si>
  <si>
    <d:r xmlns:d="http://schemas.openxmlformats.org/spreadsheetml/2006/main">
      <d:rPr>
        <d:sz val="11"/>
        <d:rFont val="Calibri"/>
      </d:rPr>
      <d:t xml:space="preserve">https://members.wto.org/crnattachments/2024/TBT/UKR/24_08412_00_x.pdf
https://members.wto.org/crnattachments/2024/TBT/UKR/24_08412_01_x.pdf</d:t>
    </d:r>
  </si>
  <si>
    <t>DUS DARS 834:2024, Dried fruits — Specification, First editionNote: Draft Uganda Standard was also notified to the SPS Committee.</t>
  </si>
  <si>
    <t xml:space="preserve">This Draft Uganda Standard specifies requirements, sampling and test methods for dried fruits intended for direct human consumption or for other use in the food industry._x000D_
This Draft Uganda Standard is not applicable to dried fruits listed below:_x000D_
a) dried apples_x000D_
b) dried pears_x000D_
c) dried peaches_x000D_
d) dried sweet cherries_x000D_
e) dried mulberries_x000D_
f) dried Barberry_x000D_
g) dried rosehips</t>
  </si>
  <si>
    <d:r xmlns:d="http://schemas.openxmlformats.org/spreadsheetml/2006/main">
      <d:rPr>
        <d:sz val="11"/>
        <d:rFont val="Calibri"/>
      </d:rPr>
      <d:t xml:space="preserve">https://members.wto.org/crnattachments/2024/TBT/UGA/24_08382_00_e.pdf</d:t>
    </d:r>
  </si>
  <si>
    <t>Text regulating the importation into Chile of livestock products, for human consumption or use, with production process monographs Chile hereby advises that Exempt Resolution No. 8.262/2024, regulating the importation into Chile of livestock products, for human consumption or use, with production process monographs, entered into force on 11 December 2024. https://members.wto.org/crnattachments/2024/SPS/CHL/24_08391_00_s.pdf</t>
  </si>
  <si>
    <t>Products of animal origin for human consumption or use</t>
  </si>
  <si>
    <t>Adoption/publication/entry into force of reg.; Animal health; Animal diseases; Animal diseases; Animal health</t>
  </si>
  <si>
    <d:r xmlns:d="http://schemas.openxmlformats.org/spreadsheetml/2006/main">
      <d:rPr>
        <d:sz val="11"/>
        <d:rFont val="Calibri"/>
      </d:rPr>
      <d:t xml:space="preserve">https://members.wto.org/crnattachments/2024/SPS/CHL/24_08391_00_s.pdf</d:t>
    </d:r>
  </si>
  <si>
    <t>DARS 1813:2024, Cocoa Powder — Specification,First Edition.Note: This Draft Tanzania Standard was also notified under SPS committee</t>
  </si>
  <si>
    <t>This draft African Standard specifies quality and safety requirements, reference sampling and test methods, packaging and labelling for Natural Cocoa Powder and Alkalized Cocoa Powder intended for human consumption.</t>
  </si>
  <si>
    <t>Cocoa powder, not containing added sugar or other sweetening matter. (HS code(s): 1805); Cocoa (ICS code(s): 67.140.30)</t>
  </si>
  <si>
    <t>1805 - Cocoa powder, not containing added sugar or other sweetening matter.</t>
  </si>
  <si>
    <d:r xmlns:d="http://schemas.openxmlformats.org/spreadsheetml/2006/main">
      <d:rPr>
        <d:sz val="11"/>
        <d:rFont val="Calibri"/>
      </d:rPr>
      <d:t xml:space="preserve">https://members.wto.org/crnattachments/2024/TBT/TZA/24_08365_00_e.pdf</d:t>
    </d:r>
  </si>
  <si>
    <t>RMD-22-01: Pest risk management decision for the regulation of light brown apple moth (Epiphyas postvittana</t>
  </si>
  <si>
    <t>This communication serves to inform Members that following a 60 day consultation of risk management document (RMD) RMD-22-01: Pest risk management decision for the regulation of light brown apple moth (Epiphyas postvittana)https://inspection.canada.ca/en/plant-health/invasive-species/directives/pest-risk-management/rmd-22-01), previously notified in G/SPS/N/CAN/1449 (dated 5 August 2022), the Canadian Food Inspection Agency (CFIA) has adopted a modified version of option 2: redesign the import program. E. postvittana will be kept on the list of pests regulated by Canadahttps://inspection.canada.ca/en/plant-health/invasive-species/regulated-pests) and therefore all imports to Canada will be required to be free from the pest.  However, to better align with regulated pests of a similar risk profile, the E. postvittana-specific import requirements outlined in directive D-07-03: Phytosanitary Import Requirements to Prevent the Entry of Epiphyas postvittana (light brown apple moth) will no longer be required. Any articles that are found to be infested with LBAM will be considered non-compliant and the CFIA may take action on that shipment.Effective immediately directive D-07-03: Phytosanitary Import Requirements to Prevent the Entry of Epiphyas postvittana (light brown apple moth) is repealed. The CFIA’s Automated Import Reference System (AIRS) will be updated to remove any E. postvittana-specific phytosanitary import requirements. This update is anticipated to be completed by winter 2024.</t>
  </si>
  <si>
    <t>All plants and plant parts that are hosts of Epiphyas postvittana (light brown apple moth). Commodity classes currently regulated by Canada include rooted and unrooted plants with leaves, fresh cut flowers, cut foliage, decorative branches, fresh fruits and fresh vegetables.</t>
  </si>
  <si>
    <t>Plant health; Pests; Territory protection; Adoption/publication/entry into force of reg.; Pests; Plant health; Territory protection</t>
  </si>
  <si>
    <t> DARS 1816:2024, Chocolate and Chocolate Products — Specification,First Edition.Note: This Draft Tanzania Standard was also notified under SPS committee</t>
  </si>
  <si>
    <t>This  Draft African Standard specifies the quality and safety requirements, sampling and test methods for chocolate and chocolate products intended for human consumption.</t>
  </si>
  <si>
    <t>Chocolate and other food preparations containing cocoa (HS code(s): 1806); Chocolate (ICS code(s): 67.190)</t>
  </si>
  <si>
    <t>1806 - Chocolate and other food preparations containing cocoa</t>
  </si>
  <si>
    <t>67.190 - Chocolate</t>
  </si>
  <si>
    <d:r xmlns:d="http://schemas.openxmlformats.org/spreadsheetml/2006/main">
      <d:rPr>
        <d:sz val="11"/>
        <d:rFont val="Calibri"/>
      </d:rPr>
      <d:t xml:space="preserve">https://members.wto.org/crnattachments/2024/TBT/TZA/24_08374_00_e.pdf</d:t>
    </d:r>
  </si>
  <si>
    <t>DUS DARS 974:2024, Fresh beans — Specification, First edition</t>
  </si>
  <si>
    <t>This Draft Uganda Standard applies to beans of varieties (cultivars) grown from Phaseolus vulgaris L. and Phaseolus coccineus L. to be supplied fresh to the consumer, beans for shelling or industrial processing being excluded.Note: This Draft Uganda Standard was also notified to the TBT Committee.</t>
  </si>
  <si>
    <t>Fresh or chilled beans "Vigna sppPhaseolus spp.", shelled or unshelled (HS code(s): 070820); Vegetables and derived products (ICS code(s): 67.080.20)</t>
  </si>
  <si>
    <d:r xmlns:d="http://schemas.openxmlformats.org/spreadsheetml/2006/main">
      <d:rPr>
        <d:sz val="11"/>
        <d:rFont val="Calibri"/>
      </d:rPr>
      <d:t xml:space="preserve">https://members.wto.org/crnattachments/2024/SPS/UGA/24_08399_00_e.pdf</d:t>
    </d:r>
  </si>
  <si>
    <t>Proposed Underground Storage Tank Regulations - Chapter 16 Rewrite</t>
  </si>
  <si>
    <t>Proposed rewrite - The State Water Resources Control Board (State Water Board) proposes amending the California Code of Regulations, title 23, division 3, chapter 16, to clarify language, reorganize topics, and update underground storage tank (UST) construction, monitoring, and testing requirements to be consistent with modern technologies and practices. Pursuant to Health and Safety Code, chapter 6.7, section 25292.05, all single-walled USTs must be permanently closed by 31 December 2025. All references to single-walled UST construction, monitoring, and testing have been removed from the proposed regulations.The proposed regulations utilize performance goals over prescriptive methods where possible to provide flexibility to the UST community, and to promote the development of new construction, monitoring, and testing technologies. Testing forms have been updated to reflect the proposed changes.</t>
  </si>
  <si>
    <t>Underground storage tanks; Quality (ICS code(s): 03.120); Stationary containers and tanks (ICS code(s): 23.020.10)</t>
  </si>
  <si>
    <t>03.120 - Quality; 23.020.10 - Stationary containers and tanks</t>
  </si>
  <si>
    <d:r xmlns:d="http://schemas.openxmlformats.org/spreadsheetml/2006/main">
      <d:rPr>
        <d:sz val="11"/>
        <d:rFont val="Calibri"/>
      </d:rPr>
      <d:t xml:space="preserve">https://members.wto.org/crnattachments/2024/TBT/USA/24_08409_00_e.pdf
https://members.wto.org/crnattachments/2024/TBT/USA/24_08409_01_e.pdf</d:t>
    </d:r>
  </si>
  <si>
    <t>Draft Commission Regulation amending Annexes II, III and V to Regulation (EC) No. 396/2005 of the European Parliament and of the Council as regards maximum residue levels for chlorpropham, fuberidazole, ipconazole, methoxyfenozide, S-metolachlor and triflusulfuron in or on certain products (Text with EEA relevance)</t>
  </si>
  <si>
    <t>The proposed draft Regulation concerns the review of existing MRLs for chlorpropham, fuberidazole, ipconazole, methoxyfenozide, S-metolachlor and triflusulfuron in certain food commodities following the non-approval of fuberidazole, ipconazole, s-metolachlor and triflusulfuronmethyl in the European Union; the non-availability of confirmatory data of methoxyfenozide required by Regulation (EU) 2023/1069 for aubergines/eggplants; and the monitoring data collected for chlorpropham requested by Commission Regulation (EU) 2021/155. MRLs for these substances in certain commodities are lowered. Lower MRLs are set after deleting old uses which are not authorised any more in the European Union. The draft Regulation also proposes some product-specific LOQ adaptions in line with technical progress.</t>
  </si>
  <si>
    <t>Cereals (HS Codes: 1001, 1002, 1003, 1004, 1005, 1006, 1007, 1008), foodstuffs of animal origin (HS Codes: 0201, 0202, 0203, 0204, 0205, 0206, 0207, 0208, 0209, 0210) and certain products of plant origin, including fruit and vegetables</t>
  </si>
  <si>
    <t>10 - CEREALS; 02 - MEAT AND EDIBLE MEAT OFFAL; 0201 - Meat of bovine animals, fresh or chilled; 1006 - Rice; 1005 - Maize or corn; 1004 - Oats; 1003 - Barley; 1002 - Rye; 1001 - Wheat and meslin; 0210 - Meat and edible offal, salted, in brine, dried or smoked; edible flours and meals of meat or meat offal;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1007 - Grain sorghum; 1008 - Buckwheat, millet, canary seed and other cereals (excl. wheat and meslin, rye, barley, oats, maize, rice and grain sorghum)</t>
  </si>
  <si>
    <d:r xmlns:d="http://schemas.openxmlformats.org/spreadsheetml/2006/main">
      <d:rPr>
        <d:sz val="11"/>
        <d:rFont val="Calibri"/>
      </d:rPr>
      <d:t xml:space="preserve">https://members.wto.org/crnattachments/2024/SPS/EEC/24_08388_00_e.pdf
https://members.wto.org/crnattachments/2024/SPS/EEC/24_08388_01_e.pdf
https://members.wto.org/crnattachments/2024/SPS/EEC/24_08388_02_e.pdf
https://members.wto.org/crnattachments/2024/SPS/EEC/24_08388_03_e.pdf
https://members.wto.org/crnattachments/2024/SPS/EEC/24_08388_04_e.pdf</d:t>
    </d:r>
  </si>
  <si>
    <t>DARS 1062:2024,Instant (soluble) coffee — Specification,First Edition.Note: This Draft Tanzania Standard was also notified under SPS committee</t>
  </si>
  <si>
    <t>This African Standard specifies requirements, sampling, and test methods for instant (soluble) coffee for human consumption.This standard also applies to decaffeinated instant coffee.</t>
  </si>
  <si>
    <d:r xmlns:d="http://schemas.openxmlformats.org/spreadsheetml/2006/main">
      <d:rPr>
        <d:sz val="11"/>
        <d:rFont val="Calibri"/>
      </d:rPr>
      <d:t xml:space="preserve">https://members.wto.org/crnattachments/2024/TBT/TZA/24_08358_00_e.pdf</d:t>
    </d:r>
  </si>
  <si>
    <t>Hazardous Waste Generator Improvements Rule, the Hazardous Waste Pharmaceuticals Rule, and the Definition of Solid Waste Rule; Technical Corrections</t>
  </si>
  <si>
    <t xml:space="preserve">The Environmental Protection Agency (EPA or the Agency) is finalizing five amendments that were withdrawn in its 6 December 2023, partial withdrawal of direct final rule (notified as G/TBT/N/USA/2032/Add.1). Due to receipt of adverse comments, the EPA withdrew eight amendments from the 9 August 2023, direct final rule that included revisions to the 2016 Hazardous Waste Generator Improvements Rule, the 2019 Hazardous Waste Pharmaceuticals Rule and the 2018 Vacatur of the Definition of Solid Waste Rule (88 FR 54086). The EPA is responding to the relevant adverse comments in this action.This final rule is effective on 10 February 2025.89 Federal Register (FR) 99727, Title 40 Code of Federal Regulations (CFR) Parts 261262, and 266_x000D_
https://www.govinfo.gov/content/pkg/FR-2024-12-11/html/2024-28802.htm_x000D_
https://www.govinfo.gov/content/pkg/FR-2024-12-11/pdf/2024-28802.pdfThis action and previous actions notified under the symbol G/TBT/N/USA/2032 are identified by Docket Number EPA-HQ-OLEM-2023-0081. The Docket Folder is available from Regulations.gov at https://www.regulations.gov/docket/EPA-HQ-OLEM-2023-0081/document and provides access to primary documents as well as comments received. Documents are also accessible from Regulations.gov by searching the Docket Number.</t>
  </si>
  <si>
    <t>Hazardous waste generators; Environmental protection (ICS code(s): 13.020); Solid wastes (ICS code(s): 13.030.10); Installations and equipment for waste disposal and treatment (ICS code(s): 13.030.40)</t>
  </si>
  <si>
    <t>13.020 - Environmental protection; 13.030.10 - Solid wastes; 13.030.40 - Installations and equipment for waste disposal and treatment; 13.020 - Environmental protection; 13.030.10 - Solid wastes; 13.030.40 - Installations and equipment for waste disposal and treatment</t>
  </si>
  <si>
    <d:r xmlns:d="http://schemas.openxmlformats.org/spreadsheetml/2006/main">
      <d:rPr>
        <d:sz val="11"/>
        <d:rFont val="Calibri"/>
      </d:rPr>
      <d:t xml:space="preserve">https://members.wto.org/crnattachments/2024/TBT/USA/final_measure/24_08338_00_e.pdf</d:t>
    </d:r>
  </si>
  <si>
    <t>Significant New Use Rules on Certain Chemical Substances (22- 4.5e)</t>
  </si>
  <si>
    <t xml:space="preserve">The Environmental Protection Agency (EPA) is issuing significant new use rules (SNURs) under the Toxic Substances Control Act (TSCA) for certain chemical substances that were the subject of premanufacture notices (PMNs) and are also subject to an Order issued by EPA pursuant to TSCA. The SNURs require persons to notify EPA at least 90 days before commencing the manufacture (defined by statute to include import) or processing of any of these chemical substances for an activity that is designated as a significant new use in the SNUR. The required notification initiates EPA's evaluation of the conditions of that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determination.This rule is effective 10 February 2025. For purposes of judicial review, this rule shall be promulgated at 1 p.m.Eastern Standard Time (EST) on 26 December 2024.89 Federal Register (FR) 100361, 12 December 2024; Title 40 Code of Federal Regulations (CFR) Parts 9 and 721_x000D_
https://www.govinfo.gov/content/pkg/FR-2024-12-12/html/2024-29276.htmhttps://www.govinfo.gov/content/pkg/FR-2024-12-12/pdf/2024-29276.pdfThis final rule and the proposed rule notified as G/TBT/N/USA/2124 are identified by Docket Number EPA-HQ-OPPT-2022-0771. The Docket Folder is available from Regulations.gov at https://www.regulations.gov/docket/EPA-HQ-OPPT-2022-0771/document and provides access to primary and supporting documents as well as comments received. Documents are also accessible from Regulations.gov by searching the Docket Number. _x000D_
</t>
  </si>
  <si>
    <t>Chemical substances; Environmental protection (ICS code(s): 13.020); Production in the chemical industry (ICS code(s): 71.020); Products of the chemical industry (ICS code(s): 71.100)</t>
  </si>
  <si>
    <d:r xmlns:d="http://schemas.openxmlformats.org/spreadsheetml/2006/main">
      <d:rPr>
        <d:sz val="11"/>
        <d:rFont val="Calibri"/>
      </d:rPr>
      <d:t xml:space="preserve">https://members.wto.org/crnattachments/2024/TBT/USA/final_measure/24_08346_00_e.pdf</d:t>
    </d:r>
  </si>
  <si>
    <t>DUS DARS 1023:2024, Hibiscus drink — Specification,  First editionNote: This Draft Uganda Standard was also notified to the SPS Committee.</t>
  </si>
  <si>
    <t>This Draft Uganda Standard specifies requirements and methods of sampling and test for non-alcoholic hibiscus drink intended for direct human consumption.</t>
  </si>
  <si>
    <t>Food preparations, n.e.s. (HS code(s): 210690); Vegetables and derived products (ICS code(s): 67.080.20); Hibiscus drink</t>
  </si>
  <si>
    <d:r xmlns:d="http://schemas.openxmlformats.org/spreadsheetml/2006/main">
      <d:rPr>
        <d:sz val="11"/>
        <d:rFont val="Calibri"/>
      </d:rPr>
      <d:t xml:space="preserve">https://members.wto.org/crnattachments/2024/TBT/UGA/24_08354_00_e.pdf</d:t>
    </d:r>
  </si>
  <si>
    <t>DARS 1823:2024, Liquid coffee — Specification,First Edition.Note: This Draft Tanzania Standard was also notified under SPS committee</t>
  </si>
  <si>
    <t>This  Draft African Standard specifies the requirements, sampling and test methods for liquid coffee intended for human consumption.</t>
  </si>
  <si>
    <d:r xmlns:d="http://schemas.openxmlformats.org/spreadsheetml/2006/main">
      <d:rPr>
        <d:sz val="11"/>
        <d:rFont val="Calibri"/>
      </d:rPr>
      <d:t xml:space="preserve">https://members.wto.org/crnattachments/2024/TBT/TZA/24_08361_00_e.pdf</d:t>
    </d:r>
  </si>
  <si>
    <t>DARS 1063:2024,Green coffee beans — Specification,First Edition.Note: This Draft Tanzania Standard was also notified under SPS committee</t>
  </si>
  <si>
    <t>This Draft African Standard specifies requirements, sampling and test methods for green coffee beans. This standard applies to both Arabica (Coffea arabica L.) and Robusta (Coffea canephora) coffee.</t>
  </si>
  <si>
    <d:r xmlns:d="http://schemas.openxmlformats.org/spreadsheetml/2006/main">
      <d:rPr>
        <d:sz val="11"/>
        <d:rFont val="Calibri"/>
      </d:rPr>
      <d:t xml:space="preserve">https://members.wto.org/crnattachments/2024/TBT/TZA/24_08362_00_e.pdf</d:t>
    </d:r>
  </si>
  <si>
    <t>DUS DARS 1019:2024, Ginger drink — Specification, First editionNote: This Draft Uganda Standard was also notified to the SPS Committee.</t>
  </si>
  <si>
    <t xml:space="preserve">This Draft Uganda Standard specifies requirements and methods of sampling and test for non-alcoholic ginger drink intended for direct human consumption._x000D_
Ginger drink that is carbonated or alcoholic is excluded from the scope of this standard.</t>
  </si>
  <si>
    <d:r xmlns:d="http://schemas.openxmlformats.org/spreadsheetml/2006/main">
      <d:rPr>
        <d:sz val="11"/>
        <d:rFont val="Calibri"/>
      </d:rPr>
      <d:t xml:space="preserve">https://members.wto.org/crnattachments/2024/TBT/UGA/24_08356_00_e.pdf</d:t>
    </d:r>
  </si>
  <si>
    <t>This Draft Uganda Standard specifies requirements, sampling and test methods for processed tomatoconcentrates (paste and puree).Note: This Draft Uganda Standard was also notified to the SPS Committee.</t>
  </si>
  <si>
    <d:r xmlns:d="http://schemas.openxmlformats.org/spreadsheetml/2006/main">
      <d:rPr>
        <d:sz val="11"/>
        <d:rFont val="Calibri"/>
      </d:rPr>
      <d:t xml:space="preserve">https://members.wto.org/crnattachments/2024/TBT/UGA/24_08341_00_e.pdf</d:t>
    </d:r>
  </si>
  <si>
    <t xml:space="preserve">Protection of Stratospheric Ozone: Determination 39 for the 
Significant New Alternatives Policy Program</t>
  </si>
  <si>
    <t xml:space="preserve">This determination of acceptability expands the list of acceptable substitutes pursuant to the U.S. Environmental Protection Agency's Significant New Alternatives Policy program. This action lists four substitutes as acceptable additional substitutes for use in the refrigeration and air conditioning and foam blowing sectors.This determination is applicable on 11 December 2024.89 Federal Register (FR) 99720, 11 December 2024; Title 40 Code of Federal Regulations (CFR) Part 82_x000D_
https://www.govinfo.gov/content/pkg/FR-2024-12-11/html/2024-28307.htm_x000D_
https://www.govinfo.gov/content/pkg/FR-2024-12-11/pdf/2024-28307.pdf_x000D_
This determination of acceptability and previous actions notified under the symbol G/TBT/N/USA/1013 are identified by Docket Number EPA-HQ-OAR-2003-0118. The Docket Folder is available on Regulations.gov at https://www.regulations.gov/docket/EPA-HQ-OAR-2003-0118/document and provides access to primary and supporting documents as well as comments received. Documents are also accessible from Regulations.gov by searching the Docket Number.</t>
  </si>
  <si>
    <t>Chemical substances</t>
  </si>
  <si>
    <t>13.020 - Environmental protection; 13.020 - Environmental protection; 71.100 - Products of the chemical industry; 71.100 - Products of the chemical industry</t>
  </si>
  <si>
    <d:r xmlns:d="http://schemas.openxmlformats.org/spreadsheetml/2006/main">
      <d:rPr>
        <d:sz val="11"/>
        <d:rFont val="Calibri"/>
      </d:rPr>
      <d:t xml:space="preserve">https://members.wto.org/crnattachments/2024/TBT/USA/24_08336_00_e.pdf</d:t>
    </d:r>
  </si>
  <si>
    <t xml:space="preserve">Federal Plan Requirements for Commercial and Industrial Solid 
Waste Incineration Units That Commenced Construction On or Before 4 June 2010 and Have Not Been Modified or Reconstructed Since 7 August 
2013</t>
  </si>
  <si>
    <t xml:space="preserve">This action finalizes the Federal plan for existing commercial and industrial solid waste incineration units (CISWI). This final action implements the U.S. Environmental Protection Agency's (EPA) emission guidelines adopted on 7 February 2013, as amended on 23 June 2016, and on 16 April 2019, in states that do not have an approved state plan implementing the emission guidelines in place by the effective date of this Federal plan. The implementation of the emission guidelines will result in emissions reductions of the regulated pollutants including cadmium, hydrogen chloride, lead, mercury, carbon monoxide, nitrogen oxides, particulate matter, and sulfur dioxide from the affected CISWI. This final action is also revising the definition of “small, remote incinerator” to reflect new statutory prohibitions on the implementation of CISWI standards to units in the State of Alaska.This final rule is effective 10 January 2025. The incorporation by reference of certain publications listed in the regulation is approved by the Director of the Federal Register as of 10 January 2025.89 Federal Register (FR) 100092, 11 December 2024; Title 40 Code of Federal Regulations (CFR) Part 62_x000D_
https://www.govinfo.gov/content/pkg/FR-2024-12-11/html/2024-26650.htm_x000D_
https://www.govinfo.gov/content/pkg/FR-2024-12-11/pdf/2024-26650.pdfThis final rule and the proposed rule notified as G/TBT/N/USA/1267 are identified by Docket Number EPA-HQ-OAR-2016-0664. The Docket Folder is available on Regulations.gov at https://www.regulations.gov/docket/EPA-HQ-OAR-2016-0664/document and provides access to primary and support documents as well as comments received. Documents are also accessible from Regulations.gov by searching the Docket Number. </t>
  </si>
  <si>
    <t>Solid waste incineration units</t>
  </si>
  <si>
    <t>13.030 - Wastes; 13.030 - Wastes</t>
  </si>
  <si>
    <d:r xmlns:d="http://schemas.openxmlformats.org/spreadsheetml/2006/main">
      <d:rPr>
        <d:sz val="11"/>
        <d:rFont val="Calibri"/>
      </d:rPr>
      <d:t xml:space="preserve">https://members.wto.org/crnattachments/2024/TBT/USA/final_measure/24_08337_00_e.pdf</d:t>
    </d:r>
  </si>
  <si>
    <t xml:space="preserve">Renewable Fuel Standard (RFS) Program: Partial Waiver of 2024 
Cellulosic Biofuel Volume Requirement and Extension of 2024 Compliance 
Deadline</t>
  </si>
  <si>
    <t>Proposed rule - The Environmental Protection Agency (EPA) is proposing to partially waive the 2024 cellulosic biofuel volume requirement and revise the associated percentage standard under the Renewable Fuel Standard (RFS) program due to a shortfall in cellulosic biofuel production. As a result of this proposed change, this action also proposes to extend the RFS compliance reporting deadline for the 2024 compliance year. This action also proposes several minor revisions related to the biogas provisions of the RFS program.EPA will hold a virtual public hearing on 20 December 2024. Please see https://www.epa.gov/renewable-fuel-standard-program/proposed-partial-waiver-2024-cellulosic-biofuel-volume-requirement for additional information on the public hearing.</t>
  </si>
  <si>
    <t>Cellulosic biofuel production; Environmental protection (ICS code(s): 13.020); Biofuels (ICS code(s): 75.160.40)</t>
  </si>
  <si>
    <d:r xmlns:d="http://schemas.openxmlformats.org/spreadsheetml/2006/main">
      <d:rPr>
        <d:sz val="11"/>
        <d:rFont val="Calibri"/>
      </d:rPr>
      <d:t xml:space="preserve">https://members.wto.org/crnattachments/2024/TBT/USA/24_08349_00_e.pdf</d:t>
    </d:r>
  </si>
  <si>
    <t>Draft Standards for Pesticide Residue Limits in Foods</t>
  </si>
  <si>
    <t>Amendment of pesticide MRLs of 2,4-D, Acrinathrin, Bifenthrin, Butachlor, Captan, Chlorantraniliprole, Chlormequat, Cyflumetofen, Cyfluthrin, Cyhalothrin, Cypermethrin, Deltamethrin, Dimethenamid, Etoxazole, Etridiazole, Fenbuconazole, Fenvalerate, Fluazaindolizine, Fluopicolide, Flutriafol, Fosthiazate, Glufosinate-ammonium, Heptenophos, Hymexazol, Imidacloprid, Isocycloseram, Mefentrifluconazole, Oxathiapiprolin, Penthiopyrad, Pydiflumetofen, Pyrimethanil, Quinoxyfen, Spiropidion and Tetraniliprole in fruits, vegetables, cereal grains, dry beans, tree nuts, herbs, hops and tea. Addendum of Prothiofos as pesticides prohibited for use.</t>
  </si>
  <si>
    <t>Fruits, vegetables, cereal grains, dry beans, tree nuts, herbs, hops and tea</t>
  </si>
  <si>
    <d:r xmlns:d="http://schemas.openxmlformats.org/spreadsheetml/2006/main">
      <d:rPr>
        <d:sz val="11"/>
        <d:rFont val="Calibri"/>
      </d:rPr>
      <d:t xml:space="preserve">https://members.wto.org/crnattachments/2024/SPS/TPKM/24_08350_00_e.pdf
https://members.wto.org/crnattachments/2024/SPS/TPKM/24_08350_01_e.pdf</d:t>
    </d:r>
  </si>
  <si>
    <t xml:space="preserve">Federal Motor Vehicle Safety Standards; Automatic Emergency 
Braking Systems for Light Vehicles; Correction</t>
  </si>
  <si>
    <t xml:space="preserve">This document corrects a 26 November 2024 final rule (notified as G/TBT/N/USA/2007/Add.2) partially granting petitions for reconsideration of a 9 May 2024, final rule (notified as G/TBT/N/USA/2007/Add.1) that adopted Federal Motor Vehicle Safety Standard (FMVSS) No. 127, “Automatic Emergency Braking for Light Vehicles,” which requires automatic emergency braking (AEB), pedestrian automatic emergency braking (PAEB), and forward collision warning (FCW) systems on all new light vehicles. This document corrects a typographical error in the amendatory instructions. Effective 27 January 2025. 89 Federal Register (FR) 99732, 11 December 2024; Title 49 Code of Federal Regulations (CFR) Parts 571_x000D_
https://www.govinfo.gov/content/pkg/FR-2024-12-11/html/2024-28998.htm_x000D_
https://www.govinfo.gov/content/pkg/FR-2024-12-11/pdf/2024-28998.pdfThis and previous actions notified under the symbol G/TBT/N/USA/2007 are identified by Docket Number NHTSA-2023-0021. The Docket Folder is available on Regulations.gov at https://www.regulations.gov/docket/NHTSA-2023-0021/document and provides access to primary and supporting documents as well as comments received. Documents are also accessible from Regulations.gov by searching the Docket Number. _x000D_
</t>
  </si>
  <si>
    <t>Automatic braking systems; Quality (ICS code(s): 03.120); Braking systems (ICS code(s): 43.040.40)</t>
  </si>
  <si>
    <t>03.120 - Quality; 03.120 - Quality; 43.040.40 - Braking systems; 43.040.40 - Braking systems; 03.120 - Quality; 43.040.40 - Braking systems</t>
  </si>
  <si>
    <d:r xmlns:d="http://schemas.openxmlformats.org/spreadsheetml/2006/main">
      <d:rPr>
        <d:sz val="11"/>
        <d:rFont val="Calibri"/>
      </d:rPr>
      <d:t xml:space="preserve">https://members.wto.org/crnattachments/2024/TBT/USA/24_08335_00_e.pdf</d:t>
    </d:r>
  </si>
  <si>
    <t>Removal of import conditions for fresh cut flowers and foliage of Adiantum spp., Dryopteris spp., Rosa spp. and Viburnum spp. from Argentina and Japan as of 20 December 2024</t>
  </si>
  <si>
    <t>The Department of Agriculture, Fisheries and Forestry (the department) has updated its fresh cut flower and foliage host list for Phytophthora ramorum to include the following genera: Adiantum spp., Dryopteris spp., Rosa spp. and Viburnum spp.As a result of this update, the department will remove import conditions for these genera of fresh cut flowers and foliage imported from Argentina and Japan for ornamental purposes from Australia’s Biosecurity Imports Condition Database (BICON).This change will occur on 20 December 2024.P. ramorum is a significnat pest for Australia. The changes to import conditions for Argentina and Japan are consistent with Australia’s  import policy for fresh cut flower and foliage hosts of P. ramorum for all countries where this pathogen is known to be present</t>
  </si>
  <si>
    <t>Cut flowers and flower buds of a kind suitable for bouquets or for ornamental purposes, fresh, dried, dyed, bleached, impregnated or otherwise prepared (HS code(s): 0603)</t>
  </si>
  <si>
    <t>0603 - Cut flowers and flower buds of a kind suitable for bouquets or for ornamental purposes, fresh, dried, dyed, bleached, impregnated or otherwise prepared</t>
  </si>
  <si>
    <t>Plant health; Pests</t>
  </si>
  <si>
    <t>Argentina; Japan</t>
  </si>
  <si>
    <d:r xmlns:d="http://schemas.openxmlformats.org/spreadsheetml/2006/main">
      <d:rPr>
        <d:sz val="11"/>
        <d:rFont val="Calibri"/>
      </d:rPr>
      <d:t xml:space="preserve">https://bicon.agriculture.gov.au/</d:t>
    </d:r>
  </si>
  <si>
    <t>DUS DARS 2113: 2024, Dried vegetables and herbs for food use — Specification, First editionNote: This Draft Uganda Standard was also notified to the SPS Committee.</t>
  </si>
  <si>
    <t>This Draft Uganda Standard specifies requirements and methods of sampling and test for dried vegetables and herbs for food use, offered for direct consumption or further processing, including for catering purposes or for repackaging, if required. This standard does not apply to vegetables powder/flour and herbs for which specific standards have been declared.</t>
  </si>
  <si>
    <t>Dried vegetables and mixtures of vegetables, whole, cut, sliced, broken or in powder, but not further prepared (excl. onions, mushrooms and truffles, not mixed) (HS code(s): 071290); Vegetables and derived products (ICS code(s): 67.080.20); Dried herbs</t>
  </si>
  <si>
    <d:r xmlns:d="http://schemas.openxmlformats.org/spreadsheetml/2006/main">
      <d:rPr>
        <d:sz val="11"/>
        <d:rFont val="Calibri"/>
      </d:rPr>
      <d:t xml:space="preserve">https://members.wto.org/crnattachments/2024/TBT/UGA/24_08353_00_e.pdf</d:t>
    </d:r>
  </si>
  <si>
    <t> DARS 1066:2024,Herbal and fruit infusions — Specification,First Edition.Note: This Draft Tanzania Standard was also notified under SPS committee</t>
  </si>
  <si>
    <t>This draft African Standard specifies requirements, sampling and test methods for herbal and fruit infusions intended for human consumption. Any use for medicinal purposes is not within the scope of this standard.</t>
  </si>
  <si>
    <d:r xmlns:d="http://schemas.openxmlformats.org/spreadsheetml/2006/main">
      <d:rPr>
        <d:sz val="11"/>
        <d:rFont val="Calibri"/>
      </d:rPr>
      <d:t xml:space="preserve">https://members.wto.org/crnattachments/2024/TBT/TZA/24_08363_00_e.pdf</d:t>
    </d:r>
  </si>
  <si>
    <t xml:space="preserve">Phasedown of Hydrofluorocarbons: Restrictions on the Use of HFCs Under the AIM Act in Variable Refrigerant Flow Air Conditioning Subsector_x000D_
</t>
  </si>
  <si>
    <t xml:space="preserve">The U.S. Environmental Protection Agency (EPA) is amending a provision of the 2023 Technology Transitions regulations promulgated under the American Innovation and Manufacturing Act of 2020. This action provides until 1 January 2027, for the installation of certain new variable refrigerant flow air conditioning and heat pump systems which use components manufactured in the United States or imported into the United States prior to 1 January 2026. This action also provides until 1 January 2028, for the installation of certain new variable refrigerant flow air conditioning and heat pump systems if a building permit that approves the use of a hydrofluorocarbon or blend containing a hydrofluorocarbon in such a system was issued prior to 5 October 2023, provided that the system uses components manufactured in the United States or imported into the United States prior to 1 January 2026. This action will mitigate the potential for stranded inventory of variable refrigerant flow systems.This final rule is effective on 13 January 2025.89 Federal Register (FR) 100381, 12 December 2024; Title 40 Code of Federal Regulations (CFR) Part 84_x000D_
https://www.govinfo.gov/content/pkg/FR-2024-12-12/html/2024-29243.htm_x000D_
https://www.govinfo.gov/content/pkg/FR-2024-12-12/pdf/2024-29243.pdfThis final rule and previous actions notified under the symbol G/TBT/N/USA/1954 are identified by Docket Number EPA-HQ-OAR-2021-0643. The Docket Folder is available from Regulations.gov at https://www.regulations.gov/docket/EPA-HQ-OAR-2021-0643/document and provides access to primary and supporting documents as well as comments received. Documents are also accessible from Regulations.gov by searching the Docket Number.</t>
  </si>
  <si>
    <t>New residential and light commercial air conditioning and heat pump variable refrigerant flow systems that are 65,000 British thermal units per hour or greater; Hydrofluorocarbons; Environmental protection (ICS code(s): 13.020); Production in the chemical industry (ICS code(s): 71.020); Products of the chemical industry (ICS code(s): 71.100)</t>
  </si>
  <si>
    <t>13.020 - Environmental protection; 71.020 - Production in the chemical industry; 71.080 - Organic chemicals; 71.080 - Organic chemicals; 71.100 - Products of the chemical industry; 13.020 - Environmental protection; 71.020 - Production in the chemical industry; 71.100 - Products of the chemical industry</t>
  </si>
  <si>
    <t>Cost saving and productivity enhancement (TBT)</t>
  </si>
  <si>
    <d:r xmlns:d="http://schemas.openxmlformats.org/spreadsheetml/2006/main">
      <d:rPr>
        <d:sz val="11"/>
        <d:rFont val="Calibri"/>
      </d:rPr>
      <d:t xml:space="preserve">https://members.wto.org/crnattachments/2024/TBT/USA/final_measure/24_08347_00_e.pdf</d:t>
    </d:r>
  </si>
  <si>
    <t>Personal Protective Equipment in Construction</t>
  </si>
  <si>
    <t xml:space="preserve">The Occupational Safety and Health Administration (OSHA) is finalizing a revision to its personal protective equipment standard for construction to explicitly require that the equipment must fit properly.This final rule is effective 13 January 2025.89 Federal Register (FR) 100321, 12 December 2024; Title 29 Code of Federal Regulations (CFR) Part 1926_x000D_
https://www.govinfo.gov/content/pkg/FR-2024-12-12/html/2024-29220.htm_x000D_
https://www.govinfo.gov/content/pkg/FR-2024-12-12/pdf/2024-29220.pdfThis final rule and the proposed rule; request for comments notified as G/TBT/N/USA/2018 are identified by Docket Number OSHA-2019-0003. The Docket Folder is available on Regulations.gov at https://www.regulations.gov/docket/OSHA-2019-0003/document and provides access to primary and supporting documents as well as comments received. Documents are also accessible from Regulations.gov by searching the Docket Number. </t>
  </si>
  <si>
    <t>Personal protective equipment; Occupational safety. Industrial hygiene (ICS code(s): 13.100); Protective equipment (ICS code(s): 13.340)</t>
  </si>
  <si>
    <t>13.100 - Occupational safety. Industrial hygiene; 13.340 - Protective equipment; 13.100 - Occupational safety. Industrial hygiene; 13.340 - Protective equipment</t>
  </si>
  <si>
    <d:r xmlns:d="http://schemas.openxmlformats.org/spreadsheetml/2006/main">
      <d:rPr>
        <d:sz val="11"/>
        <d:rFont val="Calibri"/>
      </d:rPr>
      <d:t xml:space="preserve">https://members.wto.org/crnattachments/2024/TBT/USA/final_measure/24_08348_00_e.pdf</d:t>
    </d:r>
  </si>
  <si>
    <t>Proposal to amend Schedule 20 of the revised Australia New Zealand Food Standards Code (10 December 2024)</t>
  </si>
  <si>
    <t>This Proposal seeks to amend the Australia New Zealand Food Standards Code to align the following maximum residue limits (MRLs) for various agricultural and veterinary chemicals so that they are consistent with other national regulations relating to the safe and effective use of agricultural and veterinary chemicals:Aminoethoxyvinylglycine, Boscalid, Famoxadone, MCPA, Methoxyfenozide and Pyraclostrobin in specified plant commodities. Famoxadone in specified animal commodities.</t>
  </si>
  <si>
    <t>Foods in general</t>
  </si>
  <si>
    <d:r xmlns:d="http://schemas.openxmlformats.org/spreadsheetml/2006/main">
      <d:rPr>
        <d:sz val="11"/>
        <d:rFont val="Calibri"/>
      </d:rPr>
      <d:t xml:space="preserve">https://www.apvma.gov.au/news-and-publications/publications/gazette/gazette-25-10-december-24</d:t>
    </d:r>
  </si>
  <si>
    <t>Model Work Health and Safety Regulations (Engineered Stone) Amendment 2024</t>
  </si>
  <si>
    <t xml:space="preserve">The Customs (Prohibited Imports) Amendment (Engineered Stone) Regulations 2024 (Amendment Regulations) will come into effect on 1 January 2025. The Amendment Regulations amend the Customs (Prohibited Imports) Regulations 1956 (Prohibited Imports Regulations, to prohibit the import of engineered stone benchtops, panels and slabs into Australia. This measure is complementary to Australia’s domestic prohibition on the supply, manufacture, processing and installation of engineered stone benchtops, panels and slabs, which commenced on 1 July 2024. The requirement for this measure was signposted in the original notification of 28 June 2024, titled: Model Work Health and Safety Regulations (Engineered Stone) Amendment 2024. Notification of this addendum regarding the complementary import prohibition for engineered stone, has been made as soon as practicable, taking into account immovable constraints around timing for making of the Amendment Regulations._x000D_
To protect Australian workers, the manufacture, supply, processing and installation of engineered stone slabs, panels, and benchtops has been prohibited in all Australian states and territories since 1 July 2024 for health and safety reasons, under the Work Health and Safety Regulations 2011 (Cth) (the WHS Regulations).To support this, the Australian Government will implement a prohibition on the importation of engineered stone benchtops, panels and slabs, commencing on 1 January 2025. From this date, engineered stone (as defined below), imported without a valid permit or exemption is classed as a prohibited import, meaning it can be seized at the Australian border without a warrant. As most engineered stone products are imported into Australia, the import ban will provide an extra layer of deterrence at the border, further enhancing these important measures to protect Australian workers.Engineered stone in the Prohibited Import Regulations has the same meaning as in the Work Health and Safety Regulations 2011 (Cth) (the WHS Regulations), as set out below. Engineered stoneIn the WHS Regulations, crystalline silica substance (CSS) means material that contains at least 1% crystalline silica, determined as a weight/weight (w/w) concentration.Crystalline silicameans crystalline polymorphs of silica; andincludes the following substances:cristobalite;quartz;tridymite;tripoli._x000D_
_x000D_
In the WHS Regulations, engineered stonemeans a CSS that:is an artificial product; andis created by combining natural stone materials with other chemical constituents such as water, resins or pigments; andbecomes hardened; butdoes not include the following:concrete and cement products;bricks, pavers and other similar blocks;ceramic wall and floor tiles;grout, mortar and render;plasterboard;porcelain products;sintered stone;rooftiles._x000D_
Relying upon the definition from the WHS Regulations ensures alignment between the engineered stone products banned under the domestic use, supply and manufacture prohibition, and those captured under the Prohibited Import Regulations.Under the Prohibited Import Regulations, the importation of engineered stone in the form of benchtops, panels or slabs is prohibited unless:The Work Health and Safety Minister or an authorised person has granted permission for the importation in writing;A permission may only be granted if the Work Health and Safety Minister or authorised person is satisfied that the importation is for either or both of the following purposes:For genuine research and analysis;To sample and identify engineered stone; orThere are exceptional circumstances that justify the importation.a confirmation from Comcare, or an authority of a State or Territory is in force stating that the proposed use of the engineered stone is for genuine research and analysis, or to sample engineered stone.the importation is of a kind of engineered stone benchtops, panels and slabs that is the subject of an exemption granted under of the WHS Regulations, or a corresponding WHS law. For permits granted by the Work Health and Safety Minister, or an authorised person, examples of exceptional circumstances, include, but are not limited to: If stone waste from Antarctica needed to be imported to be disposed of in Australia; Or in the event an importer wished to import a novel and unanticipated form of engineered stone not previously considered or encountered.Importers must produce copies of the relevant documentation referenced above, to a Collector on request at or before the time of the importation.Information on the Australian Government prohibition on the use, supply and manufacture of engineered stone, can be found at https://www.dewr.gov.au/engineeredstone or https://www.safeworkaustralia.gov.au/esban</t>
  </si>
  <si>
    <t>The measure will apply to:Engineered stone slabs, panels, and benchtops. Prohibited ‘engineered stone’ will be defined as an artificial product that contains 1% or more crystalline silica (determined as a weight/weight (w/w) concentration), is created by combining natural stone materials with other chemical constituents (such as water, resins or pigments) and becomes hardened. Engineered stone does not include concrete and cement products, bricks, pavers and other similar blocks, ceramic wall and floor tiles, grout, mortar and render, plasterboard, porcelain products, sintered stone and roof tiles. This captures the following HS codes:6802Worked monumental or building stone (except slate) and articles thereof, other than goods of 6801.00.00; mosaic cubes and the like, of natural stone (including slate), whether or not on a backing; artificially coloured granules, chippings and powder, of natural stone (including slate)6802.29.00Other stone6802.99.00: Other stone6810Articles of cement, of concrete or of artificial stone, whether or not reinforced6810.19.00: Other6810.91.00: Prefabricated structural components for building or civil engineering6810.99.00: Other6814Worked mica and articles of mica, including agglomerated or reconstituted mica, whether or not on a support of paper, paperboard or other materials6814.10.00: Plates, sheets and strips of agglomerated or reconstituted mica, whether or not on a support6814.90.00: Other</t>
  </si>
  <si>
    <t>680229 - Monumental or building stone and articles thereof, simply cut or sawn, with a flat or even surface (excl. marble, travertine, alabaster, granite and slate, those with a completely or partly planed, sand-dressed, coarsely or finely ground or polished surface, tiles, cubes and similar articles of subheading 6802 10 00, setts, curbstones and flagstones); 680299 - Monumental or building stone, in any form, polished, decorated or otherwise worked (excl. calcareous stone, granite and slate, tiles, cubes and similar articles of subheading 6802.10, articles of fused basalt, articles of natural steatite, ceramically calcined, imitation jewellery, clocks, lamps and lighting fittings and parts thereof, original sculptures and statuary, setts, curbstones and flagstones); 681019 - Tiles, flagstones, bricks and similar articles, of cement, concrete or artificial stone (excl. building blocks and bricks); 681091 - Prefabricated structural components for building or civil engineering of cement, concrete or artificial stone, whether or not reinforced; 681099 - Articles of cement, concrete or artificial stone, whether or not reinforced (excl. prefabricated structural components for building or civil engineering, tiles, paving, bricks and the like); 681410 - Plates, sheets and strips of agglomerated or reconstituted mica, whether or not on a support of paper, paperboard or other materials, in rolls or merely cut into square or rectangular shapes; 681490 - Worked mica and articles of mica (excl. electrical insulators, insulating fittings, resistors and capacitors, protective goggles of mica and their glasses, mica in the form of Christmas tree decorations, and plates, sheets and strips of agglomerated or reconstituted mica, whether or not on supports); 680299 - Monumental or building stone, in any form, polished, decorated or otherwise worked (excl. calcareous stone, granite and slate, tiles, cubes and similar articles of subheading 6802.10, articles of fused basalt, articles of natural steatite, ceramically calcined, imitation jewellery, clocks, lamps and lighting fittings and parts thereof, original sculptures and statuary, setts, curbstones and flagstones); 681019 - Tiles, flagstones, bricks and similar articles, of cement, concrete or artificial stone (excl. building blocks and bricks); 681091 - Prefabricated structural components for building or civil engineering of cement, concrete or artificial stone, whether or not reinforced; 681099 - Articles of cement, concrete or artificial stone, whether or not reinforced (excl. prefabricated structural components for building or civil engineering, tiles, paving, bricks and the like); 681410 - Plates, sheets and strips of agglomerated or reconstituted mica, whether or not on a support of paper, paperboard or other materials, in rolls or merely cut into square or rectangular shapes; 681490 - Worked mica and articles of mica (excl. electrical insulators, insulating fittings, resistors and capacitors, protective goggles of mica and their glasses, mica in the form of Christmas tree decorations, and plates, sheets and strips of agglomerated or reconstituted mica, whether or not on supports); 680229 - Monumental or building stone and articles thereof, simply cut or sawn, with a flat or even surface (excl. marble, travertine, alabaster, granite and slate, those with a completely or partly planed, sand-dressed, coarsely or finely ground or polished surface, tiles, cubes and similar articles of subheading 6802 10 00, setts, curbstones and flagstones)</t>
  </si>
  <si>
    <t>91.100.15 - Mineral materials and products; 91.100.15 - Mineral materials and products</t>
  </si>
  <si>
    <d:r xmlns:d="http://schemas.openxmlformats.org/spreadsheetml/2006/main">
      <d:rPr>
        <d:sz val="11"/>
        <d:rFont val="Calibri"/>
      </d:rPr>
      <d:t xml:space="preserve">Customs (Prohibited Imports) Amendment (Engineered Stone) Regulations 2024
 available at:
https://www.legislation.gov.au/F2024L01600/latest/text 
</d:t>
    </d:r>
  </si>
  <si>
    <t>DARS 1814:2024,Roasted coffee beans and roasted ground coffee — Specification, First Edition.Note: This Draft Tanzania Standard was also notified under SPS committee</t>
  </si>
  <si>
    <t>This Draft African Standard specifies the requirements, sampling and test methods for roasted coffee beans and roasted ground coffee intended for human consumption.  This standard also applies to decaffeinated roasted ground coffee. </t>
  </si>
  <si>
    <t>COFFEE, TEA, MATÉ AND SPICES (HS code(s): 09); Coffee and coffee substitutes (ICS code(s): 67.140.20)</t>
  </si>
  <si>
    <t>09 - COFFEE, TEA, MATÉ AND SPICES</t>
  </si>
  <si>
    <d:r xmlns:d="http://schemas.openxmlformats.org/spreadsheetml/2006/main">
      <d:rPr>
        <d:sz val="11"/>
        <d:rFont val="Calibri"/>
      </d:rPr>
      <d:t xml:space="preserve">https://members.wto.org/crnattachments/2024/TBT/TZA/24_08357_00_e.pdf</d:t>
    </d:r>
  </si>
  <si>
    <t>Requirements for the Establishment and Operation of Medical Magnetic Resonance Imaging (MRI) Facilities in the Philippines</t>
  </si>
  <si>
    <t>FDA aims to supplement the provisions of DOH AO No. No. 2020-0035 to regulate the establishment and operation of Magnetic Resonance Imaging facilities through the issuance of an authorization to ensure utmost safety of patients, workers, and the public and to adopt international standards of MRI Safety.</t>
  </si>
  <si>
    <t>Magnetic resonance imaging apparatus (HS code(s): 901813)</t>
  </si>
  <si>
    <t>901813 - Magnetic resonance imaging apparatus</t>
  </si>
  <si>
    <t>11.040.55 - Diagnostic equipment</t>
  </si>
  <si>
    <d:r xmlns:d="http://schemas.openxmlformats.org/spreadsheetml/2006/main">
      <d:rPr>
        <d:sz val="11"/>
        <d:rFont val="Calibri"/>
      </d:rPr>
      <d:t xml:space="preserve">https://members.wto.org/crnattachments/2024/TBT/PHL/24_08339_00_e.pdf</d:t>
    </d:r>
  </si>
  <si>
    <t>Draft Plant Quarantine (Regulation of Import into India) Order, 2003 (Twenty sixth Amendment) 2024</t>
  </si>
  <si>
    <t>The Draft Plant Quarantine (Regulation of Import into India) (Twenty sixth Amendment) Order, 2024 seeks to further liberalize provisions governing import of Apple (Malus domestica) from the Republic of Moldova.</t>
  </si>
  <si>
    <t>Apple (Malus domestica</t>
  </si>
  <si>
    <t>080810 - Fresh apples</t>
  </si>
  <si>
    <t>Moldova, Republic of</t>
  </si>
  <si>
    <d:r xmlns:d="http://schemas.openxmlformats.org/spreadsheetml/2006/main">
      <d:rPr>
        <d:sz val="11"/>
        <d:rFont val="Calibri"/>
      </d:rPr>
      <d:t xml:space="preserve">https://members.wto.org/crnattachments/2024/SPS/IND/24_08342_00_e.pdf</d:t>
    </d:r>
  </si>
  <si>
    <t>Draft Resolution 1299, 9 December 2024</t>
  </si>
  <si>
    <t>This draft resolution proposes a Normative Instruction which amends the Normative Instruction - IN No 211, of 1 March 2023, which establishes the technological functions, maximum limits and conditions of use for food additives and technology coadjuvants authorized for use in foods.</t>
  </si>
  <si>
    <t>Miscellaneous chemical products (HS code(s): 38); Environment. Health protection. Safety (ICS code(s): 13)</t>
  </si>
  <si>
    <t>38 - MISCELLANEOUS CHEMICAL PRODUCTS</t>
  </si>
  <si>
    <t>13 - ENVIRONMENT. HEALTH PROTECTION. SAFETY</t>
  </si>
  <si>
    <d:r xmlns:d="http://schemas.openxmlformats.org/spreadsheetml/2006/main">
      <d:rPr>
        <d:sz val="11"/>
        <d:rFont val="Calibri"/>
      </d:rPr>
      <d:t xml:space="preserve">https://members.wto.org/crnattachments/2024/SPS/BRA/24_08333_00_x.pdf
Draft: https://anexosportal.datalegis.net/arquivos/1875549.pdf
Comment form: http://pesquisa.anvisa.gov.br/index.php/647721?lang=pt-BR</d:t>
    </d:r>
  </si>
  <si>
    <t>Draft Resolution 1300, 10 December 2024</t>
  </si>
  <si>
    <t>Miscellaneous chemical products (HS code(s): 38); Environment. Health protection. Safety (ICS code(s): 13); Food technology (ICS code(s): 67); Chemical technology (ICS code(s): 71)</t>
  </si>
  <si>
    <t>13 - ENVIRONMENT. HEALTH PROTECTION. SAFETY; 67 - Food technology; 71 - Chemical technology</t>
  </si>
  <si>
    <d:r xmlns:d="http://schemas.openxmlformats.org/spreadsheetml/2006/main">
      <d:rPr>
        <d:sz val="11"/>
        <d:rFont val="Calibri"/>
      </d:rPr>
      <d:t xml:space="preserve">https://members.wto.org/crnattachments/2024/SPS/BRA/24_08334_00_x.pdf
Draft: https://anexosportal.datalegis.net/arquivos/1875573.pdf
Comment form: http://pesquisa.anvisa.gov.br/index.php/144631?lang=pt-BR</d:t>
    </d:r>
  </si>
  <si>
    <t>Proyecto de Resolución Directoral para el establecimiento de requisitos fitosanitarios para la importación de planta de palto (Persea americana) de origen y procedencia Chile (Draft Directorial Resolution establishing the phytosanitary requirements governing the importation of avocado (Persea americana) plants originating in and coming from Chile)</t>
  </si>
  <si>
    <t>The notified draft Directorial Resolution sets out the phytosanitary requirements governing the importation into Peru of avocado (Persea americana) plants originating in and coming from Chile, following the completion of the relevant pest risk analysis.</t>
  </si>
  <si>
    <t>Avocado plants, HS code: 060220</t>
  </si>
  <si>
    <d:r xmlns:d="http://schemas.openxmlformats.org/spreadsheetml/2006/main">
      <d:rPr>
        <d:sz val="11"/>
        <d:rFont val="Calibri"/>
      </d:rPr>
      <d:t xml:space="preserve">https://members.wto.org/crnattachments/2024/SPS/PER/24_08329_00_s.pdf
El texto lo puede descargar de la página web del SENASA
 cuya ruta es la siguiente:
http://www.senasa.gob.pe/senasa/consulta-publica/ (disponible en español)</d:t>
    </d:r>
  </si>
  <si>
    <t>Draft partial amendment to the Substitute Sanitary Technical Regulations on processed foods, processing plants, establishments for the distribution, marketing and transportation of processed foods, and mass catering establishments</t>
  </si>
  <si>
    <t xml:space="preserve">Draft partial amendment to Resolution No. ARCSA-DE-2022-016-AKRG on the Substitute Sanitary Technical Regulations on processed foods, processing plants, establishments for  1 This information can be provided by including a website address, a PDF attachment, or other information on where the text of the final measure/change to the measure/interpretative guidance can be obtained. G/TBT/N/ECU/490/Add.5 - 2 -   the distribution, marketing and transportation of processed foods, and mass catering establishments. In accordance with the provisions of the Agreement on Technical Barriers to Trade and Andean Community Decision No. 827, Ecuador hereby advises that comments on the draft partial amendment to the Substitute Sanitary Technical Regulations on processed foods, processing plants, establishments for the distribution, marketing and transportation of processed foods, and mass catering establishments, must be received by 10 February 2025. Text available from: Ministerio de Producción, Comercio Exterior, Inversiones y Pesca (Ministry of Production, Foreign Trade, Investment and Fisheries), Subsecretaría de Calidad (Under-Secretariat for Quality), Organismo Nacional de Notificación (National Notification Authority) TBT enquiry point: Eduardo Yépez Plataforma Gubernamental de Gestión Financiera - Piso 8 Bloque amarillo Av. Amazonas entre Unión Nacional de Periodistas y Alfonso Pereira Quito, Ecuador Tel.: (+593) 2 3948760, Ext. 2252/2254 Email: Puntocontacto-OTCECU@produccion.gob.ec PuntocontactoOTCECU@gmail.com cyepez@produccion.gob.ec __________</t>
  </si>
  <si>
    <t>The notified Sanitary Technical Regulation applies to all national or foreign natural or legal persons involved or engaged in the manufacturing, production, processing, preparation, packaging, packing, assembly, transportation, storage and marketing in Ecuador of processed foods for human consumption, as well as to mass catering establishments.</t>
  </si>
  <si>
    <t>Consumer information, labelling (TBT); Prevention of deceptive practices and consumer protection (TBT); Protection of human health or safety (TBT); Protection of the environment (TBT)</t>
  </si>
  <si>
    <d:r xmlns:d="http://schemas.openxmlformats.org/spreadsheetml/2006/main">
      <d:rPr>
        <d:sz val="11"/>
        <d:rFont val="Calibri"/>
      </d:rPr>
      <d:t xml:space="preserve">https://members.wto.org/crnattachments/2024/TBT/ECU/modification/24_08279_00_s.pdf</d:t>
    </d:r>
  </si>
  <si>
    <t>Draft Resolution 1298, 6 December 2024</t>
  </si>
  <si>
    <t>This draft resolution proposes the inclusion of active ingredients A29 - ACETAMIPRID, B26 - BIFENTRIN, B59 - BENALAXYL-M, C07 - KASUGAMYCIN, C09 - CYMONAXIL, C35 - CLOMAZONE, C63 - LAMBDA-CYHALOTHRIN, C74 - CIANTRANILIPROLE, D55 - DINOTEFURANO, F42 - METHYL FLUROXYPYR, F46 - FLUMIOXAZINE, F47 - FLUAZINAM, F68 - FLUXAPIROXADE, G01 - GLYPHOSATE, G05 - GLUFOSINATE-AMMONIUM, L05 - LUFENUROM, M24 - MSMA, M45 - MANDIPROPAMID, P13 - PROFENOFÓS, S09 - SULFENTRAZONA, S13 - S-METOLACHLOR, T81 - TOLPIRALATE, and Z04 - ZOXAMIDA on the Monograph List of Active Ingredients for Pesticides, Household Cleaning Products and Wood Preservatives, which was published by Normative Instruction 103 on 19 October 2021 in the Brazilian Official Gazette (DOU - Diário Oficial da União).</t>
  </si>
  <si>
    <t>Edible vegetables and certain roots and tubers (HS code(s): 07); Edible fruit and nuts; Peel of citrus fruit or melons (HS code(s): 08); Cereals (HS code(s): 10); Environment. Health protection. Safety (ICS code(s): 13)</t>
  </si>
  <si>
    <t>10 - CEREALS; 08 - EDIBLE FRUIT AND NUTS; PEEL OF CITRUS FRUIT OR MELONS; 07 - EDIBLE VEGETABLES AND CERTAIN ROOTS AND TUBERS</t>
  </si>
  <si>
    <d:r xmlns:d="http://schemas.openxmlformats.org/spreadsheetml/2006/main">
      <d:rPr>
        <d:sz val="11"/>
        <d:rFont val="Calibri"/>
      </d:rPr>
      <d:t xml:space="preserve">https://members.wto.org/crnattachments/2024/SPS/BRA/24_08332_00_x.pdf
Draft: https://anexosportal.datalegis.net/arquivos/1875398.pdf
Comment form:  https://pesquisa.anvisa.gov.br/index.php/597773?lang=pt-BR</d:t>
    </d:r>
  </si>
  <si>
    <t>Draft Plant Quarantine (Regulation of Import into India) Order, 2003 (Eighteenth Amendment) 2024</t>
  </si>
  <si>
    <t>The Draft Plant Quarantine (Regulation of Import into India) (Eighteenth Amendment) Order, 2024 seeks to further liberalize provisions governing import of fresh fruits from consumption of mentioned Citrus spp. from Spain.</t>
  </si>
  <si>
    <t>Fresh fruits of Citrus limon (Lemon), Citrus sinensis (Orange), Citrus reticulata x Citrus sinensis (Hybrid orange), Citrus paradisi (Grapefruit), Citrus reticulata (Mandarin), Citrus clementina (Clementine), Citrus spp. (Lemon, lime, orange, grapefruit, mandarins, etc. and other rutacesous)</t>
  </si>
  <si>
    <t>080590 - Fresh or dried citrus fruit (excl. oranges, lemons "Citrus limon, Citrus limonum", limes "Citrus aurantifolia, Citrus latifolia", grapefruit, mandarins, incl. tangerines and satsumas, clementines, wilkings and similar citrus hybrids); 080550 - Fresh or dried lemons "Citrus limon, Citrus limonum" and limes "Citrus aurantifolia, Citrus latifolia"; 080540 - Fresh or dried grapefruit and pomelos; 080522 - Fresh or dried clementines incl. monreales; 080521 - Fresh or dried mandarins incl. tangerines and satsumas (excl. clementines); 080510 - Fresh or dried oranges</t>
  </si>
  <si>
    <t>Plant health; Territory protection; Pest- or Disease- free Regions / Regionalization</t>
  </si>
  <si>
    <t>Spain</t>
  </si>
  <si>
    <d:r xmlns:d="http://schemas.openxmlformats.org/spreadsheetml/2006/main">
      <d:rPr>
        <d:sz val="11"/>
        <d:rFont val="Calibri"/>
      </d:rPr>
      <d:t xml:space="preserve">https://members.wto.org/crnattachments/2024/SPS/IND/24_08325_00_e.pdf</d:t>
    </d:r>
  </si>
  <si>
    <t>Resolución Directoral No D000030-2024-MIDAGRI-SENASA-DSA (Directorial Resolution No. D000030-2024-MIDAGRI-SENASA-DSA)</t>
  </si>
  <si>
    <t>The notified Directorial Resolution approves the sanitary requirements governing the importation of porcine blood products, for animal consumption (except for ruminants), from Spain.</t>
  </si>
  <si>
    <t>Porcine blood products, for animal consumption (except for ruminants)</t>
  </si>
  <si>
    <t>160290 - Prepared or preserved meat, offal, blood or insects (excl. meat or offal of poultry, swine and bovine animals, sausages and similar products, finely homogenised preparations put up for retail sale as infant food or for dietetic purposes, in containers of a net weight of &lt;= 250 g, preparations of liver and meat extracts and juices); 160100 - Sausages and similar products, of meat, meat offal, blood or insects; food preparations based on these products</t>
  </si>
  <si>
    <d:r xmlns:d="http://schemas.openxmlformats.org/spreadsheetml/2006/main">
      <d:rPr>
        <d:sz val="11"/>
        <d:rFont val="Calibri"/>
      </d:rPr>
      <d:t xml:space="preserve">https://members.wto.org/crnattachments/2024/SPS/PER/24_08330_00_s.pdf</d:t>
    </d:r>
  </si>
  <si>
    <t>Resolución Directoral No D000031-2024-MIDAGRI-SENASA-DSA (Directorial Resolution No. D000031-2024-MIDAGRI-SENASA-DSA)</t>
  </si>
  <si>
    <t>The notified Directorial Resolution approves the sanitary requirements governing the importation of giraffes from Mexico.</t>
  </si>
  <si>
    <t>Live giraffes</t>
  </si>
  <si>
    <t>010619 - Live mammals (excl. primates, whales, dolphins and porpoises, manatees and dugongs, seals, sea lions and walruses, camels and other camelids, rabbits and hares, horses, asses, mules, hinnies, bovines, pigs, sheep and goats)</t>
  </si>
  <si>
    <t>Animal health; Animal diseases</t>
  </si>
  <si>
    <d:r xmlns:d="http://schemas.openxmlformats.org/spreadsheetml/2006/main">
      <d:rPr>
        <d:sz val="11"/>
        <d:rFont val="Calibri"/>
      </d:rPr>
      <d:t xml:space="preserve">https://members.wto.org/crnattachments/2024/SPS/PER/24_08331_00_s.pdf</d:t>
    </d:r>
  </si>
  <si>
    <t>Cyazofamid; Pesticide Tolerances. Final Rule</t>
  </si>
  <si>
    <t>This regulation establishes tolerances for residues of cyazofamid in or on multiple crops.</t>
  </si>
  <si>
    <t>Residues of cyazofamid in or on multiple crops</t>
  </si>
  <si>
    <d:r xmlns:d="http://schemas.openxmlformats.org/spreadsheetml/2006/main">
      <d:rPr>
        <d:sz val="11"/>
        <d:rFont val="Calibri"/>
      </d:rPr>
      <d:t xml:space="preserve">https://www.govinfo.gov/content/pkg/FR-2024-12-05/html/2024-28467.htm</d:t>
    </d:r>
  </si>
  <si>
    <t>Draft Food Safety and Standards (Contaminants, Toxins and Residues) Amendment Regulations, 2024</t>
  </si>
  <si>
    <t>The Food Safety and Standards (Contaminants, Toxins and Residues) Amendment Regulations, 2024 is relating to tolerance limit of metal contaminants, crop contaminants and antibiotics.</t>
  </si>
  <si>
    <d:r xmlns:d="http://schemas.openxmlformats.org/spreadsheetml/2006/main">
      <d:rPr>
        <d:sz val="11"/>
        <d:rFont val="Calibri"/>
      </d:rPr>
      <d:t xml:space="preserve">https://members.wto.org/crnattachments/2024/SPS/IND/24_08324_00_x.pdf
https://www.fssai.gov.in/upload/uploadfiles/files/gazette_250924.pdf</d:t>
    </d:r>
  </si>
  <si>
    <t>DARS 1822:2024, Flavoured coffee — Specification,First Edition</t>
  </si>
  <si>
    <t>This Draft African Standard specifies the requirements, sampling and test methods for flavoured coffee intended for human consumption.Note: This Draft Tanzania Standard was also notified under TBT Committee.</t>
  </si>
  <si>
    <d:r xmlns:d="http://schemas.openxmlformats.org/spreadsheetml/2006/main">
      <d:rPr>
        <d:sz val="11"/>
        <d:rFont val="Calibri"/>
      </d:rPr>
      <d:t xml:space="preserve">https://members.wto.org/crnattachments/2024/SPS/TZA/24_08313_00_e.pdf</d:t>
    </d:r>
  </si>
  <si>
    <t>Testing, Evaluation, and Approval of Electric Motor-Driven Mine Equipment and Accessories</t>
  </si>
  <si>
    <t xml:space="preserve">The Mine Safety and Health Administration (MSHA) is revising its regulations that set out the testing, evaluation, and approval requirements for electric motor-driven mine equipment and accessories intended for use in gassy mines. Under this final rule, MSHA incorporates by reference eight ANSI-approved voluntary consensus standards (accessible for review in the docket here) that are suitable for gassy mining environments to protect against fire or explosion hazards, and accepts them as alternatives to the existing testing, evaluation, and approval requirements for electric motor-driven mine equipment and accessories. This final rule offers more flexibility in the testing, evaluation, and approval requirements that product designers and manufacturers must meet in seeking MSHA approvals. This final rule will promote the use of innovative and advanced technologies that lead to improvements in mine safety and health.Effective date: 9 January 2025. Incorporation by reference date: The incorporation by reference of the publications listed in the rule is approved by the Director of the Federal Register as of 9 January 2025.89 Federal Register (FR) 99085, 10 December 2024; Title 30 Code of Federal Regulations (CFR) Parts 18 and 74_x000D_
https://www.govinfo.gov/content/pkg/FR-2024-12-10/html/2024-28315.htm_x000D_
https://www.govinfo.gov/content/pkg/FR-2024-12-10/pdf/2024-28315.pdfThis final rule and the proposed rule notified as G/TBT/N/USA/1672 are identified by Docket Number MSHA-2020-0018. The Docket Folder is available on Regulations.gov at https://www.regulations.gov/docket/MSHA-2020-0018/document and provides access to primary and support documents as well as comments received. Documents are also accessible from Regulations.gov by searching the Docket Number. _x000D_
</t>
  </si>
  <si>
    <t>Electric motor-driven mine equipment</t>
  </si>
  <si>
    <t>03.120 - Quality; 03.120 - Quality; 13.020 - Environmental protection; 13.020 - Environmental protection; 13.100 - Occupational safety. Industrial hygiene; 13.100 - Occupational safety. Industrial hygiene; 13.110 - Safety of machinery; 13.110 - Safety of machinery; 13.220 - Protection against fire; 13.220 - Protection against fire; 13.220.01 - Protection against fire in general; 13.220.01 - Protection against fire in general; 13.220.10 - Fire-fighting; 13.220.10 - Fire-fighting; 13.220.20 - Fire protection; 13.220.20 - Fire protection; 13.220.40 - Ignitability and burning behaviour of materials and products; 13.220.40 - Ignitability and burning behaviour of materials and products; 13.220.50 - Fire-resistance of building materials and elements; 13.220.50 - Fire-resistance of building materials and elements; 13.220.99 - Other standards related to protection against fire; 13.220.99 - Other standards related to protection against fire; 19.020 - Test conditions and procedures in general; 19.020 - Test conditions and procedures in general; 29.260 - Electrical equipment for working in special conditions; 29.260 - Electrical equipment for working in special conditions; 73.100 - Mining equipment; 73.100 - Mining equipment</t>
  </si>
  <si>
    <t>Protection of human health or safety (TBT); Protection of the environment (TBT); Quality requirements (TBT); Harmonization (TBT); Reducing trade barriers and facilitating trade (TBT); Cost saving and productivity enhancement (TBT)</t>
  </si>
  <si>
    <d:r xmlns:d="http://schemas.openxmlformats.org/spreadsheetml/2006/main">
      <d:rPr>
        <d:sz val="11"/>
        <d:rFont val="Calibri"/>
      </d:rPr>
      <d:t xml:space="preserve">https://members.wto.org/crnattachments/2024/TBT/USA/final_measure/24_08276_00_e.pdf</d:t>
    </d:r>
  </si>
  <si>
    <t>Importation of zoo hippopotamuses and their semen from approved countries - Final report</t>
  </si>
  <si>
    <t>On 24 April 2024, Australia issued an SPS notification (G/SPS/N/AUS/587) informing trading partners of the release of the draft report of a review of import conditions for the importation of zoo hippopotamuses and their semen from approved countries for consultation.The Department of Agriculture, Fisheries and Forestry has assessed submissions received during the consultation period. As a result, minor changes were made to proposed import conditions. The review report has now been finalized. Imports of zoo hippopotamuses and their semen from approved countries may now occur in accordance with the import requirements detailed in the review report.</t>
  </si>
  <si>
    <t>Zoo hippopotamuses and their semen from approved countries</t>
  </si>
  <si>
    <t>Animal health (SPS); Protect humans from animal/plant pest or disease (SPS)</t>
  </si>
  <si>
    <t>Human health; Animal health; Animal diseases; Adoption/publication/entry into force of reg.; Animal diseases; Human health; Animal health</t>
  </si>
  <si>
    <d:r xmlns:d="http://schemas.openxmlformats.org/spreadsheetml/2006/main">
      <d:rPr>
        <d:sz val="11"/>
        <d:rFont val="Calibri"/>
      </d:rPr>
      <d:t xml:space="preserve">The Importation of zoo hippopotamuses and their semen from approved countries: final report is available at the following web address:
https://www.agriculture.gov.au/biosecurity-trade/policy/risk-analysis/animal</d:t>
    </d:r>
  </si>
  <si>
    <t>DARS 1819:2024, Cocoa press cake — Specification, First Edition</t>
  </si>
  <si>
    <t>This Draft  African Standard specifies quality and safety requirements, sampling and test methods, packaging and labelling for cocoa press cake for use in the manufacture of cocoa and chocolate products intended for human consumption.Note: This Draft Tanzania Standard was also notified under TBT Committee.</t>
  </si>
  <si>
    <t>Cocoa beans, whole or broken, raw or roasted (HS code(s): 1801); Cocoa (ICS code(s): 67.140.30)</t>
  </si>
  <si>
    <t>1801 - Cocoa beans, whole or broken, raw or roasted.</t>
  </si>
  <si>
    <d:r xmlns:d="http://schemas.openxmlformats.org/spreadsheetml/2006/main">
      <d:rPr>
        <d:sz val="11"/>
        <d:rFont val="Calibri"/>
      </d:rPr>
      <d:t xml:space="preserve">https://members.wto.org/crnattachments/2024/SPS/TZA/24_08309_00_e.pdf</d:t>
    </d:r>
  </si>
  <si>
    <t>DARS 1815:2024, Cocoa butter — Specification, First Edition</t>
  </si>
  <si>
    <t>This African Standard specifies the quality and safety requirements, storage conditions, sampling and referenced test methods for cocoa butter.Note: This Draft Tanzania Standard was also notified under TBT Committee.</t>
  </si>
  <si>
    <t>Cocoa butter, fat and oil (HS code(s): 1804); Cocoa (ICS code(s): 67.140.30)</t>
  </si>
  <si>
    <d:r xmlns:d="http://schemas.openxmlformats.org/spreadsheetml/2006/main">
      <d:rPr>
        <d:sz val="11"/>
        <d:rFont val="Calibri"/>
      </d:rPr>
      <d:t xml:space="preserve">https://members.wto.org/crnattachments/2024/SPS/TZA/24_08319_00_e.pdf</d:t>
    </d:r>
  </si>
  <si>
    <t xml:space="preserve">Receipt of a Pesticide Petition Filed for Residues of Pesticide 
Chemicals in or on Various Commodities (October 2024)</t>
  </si>
  <si>
    <t>This notice announces the Agency's receipt of an initial filing of a pesticide petition requesting the establishment or modification of regulations for residues of pesticide chemicals in or on various commodities.</t>
  </si>
  <si>
    <t>Various commodities</t>
  </si>
  <si>
    <d:r xmlns:d="http://schemas.openxmlformats.org/spreadsheetml/2006/main">
      <d:rPr>
        <d:sz val="11"/>
        <d:rFont val="Calibri"/>
      </d:rPr>
      <d:t xml:space="preserve">https://www.govinfo.gov/content/pkg/FR-2024-12-09/html/2024-28805.htm</d:t>
    </d:r>
  </si>
  <si>
    <t>DARS 1061:2024, Coffee premix - Specification, First Edition</t>
  </si>
  <si>
    <t>This African Standard specifies the requirements, sampling, and test methods for coffee premix intended for human consumption.Note: This Draft Tanzania Standard was also notified under TBT Committee.</t>
  </si>
  <si>
    <d:r xmlns:d="http://schemas.openxmlformats.org/spreadsheetml/2006/main">
      <d:rPr>
        <d:sz val="11"/>
        <d:rFont val="Calibri"/>
      </d:rPr>
      <d:t xml:space="preserve">https://members.wto.org/crnattachments/2024/SPS/TZA/24_08312_00_e.pdf</d:t>
    </d:r>
  </si>
  <si>
    <t>Modifica Resolución exenta SAG 1.417/2020 que modifica y aprueba texto coordinado y sistematizado de la resolución exenta SAG 1.409 de 2001 que establece requisitos fitosanitarios de importación para frutos frescos de frutilla (Fragaria spp.), procedentes de Estados Unidos de Norteamérica (Amendment to SAG Exempt Resolution No. 1.417/2020 amending and approving the coordinated and consolidated text of SAG Exempt Resolution No. 1.409 of 2001 establishing phytosanitary requirements for the importation of fresh strawberries (Fragaria spp.) from the United States of America)</t>
  </si>
  <si>
    <t>The notified document updates the regulation establishing the phytosanitary requirements for the importation into Chile of fresh strawberries (Fragaria spp.) from the United States of America, as the pest Epiphyas postvittana is present in the United States. Further details can be found in the document attached to this notification.</t>
  </si>
  <si>
    <t>Fresh strawberries (Fragaria spp.)</t>
  </si>
  <si>
    <t>081010 - Fresh strawberries</t>
  </si>
  <si>
    <d:r xmlns:d="http://schemas.openxmlformats.org/spreadsheetml/2006/main">
      <d:rPr>
        <d:sz val="11"/>
        <d:rFont val="Calibri"/>
      </d:rPr>
      <d:t xml:space="preserve">https://members.wto.org/crnattachments/2024/SPS/CHL/24_08197_00_s.pdf
https://members.wto.org/crnattachments/2024/SPS/CHL/24_08197_01_s.pdf
https://members.wto.org/crnattachments/2024/SPS/CHL/24_08197_02_s.pdf</d:t>
    </d:r>
  </si>
  <si>
    <t>DARS 1816:2024, Chocolate and Chocolate Products — Specification, First Edition</t>
  </si>
  <si>
    <t>This African Standard specifies the quality and safety requirements, sampling and test methods for chocolate and chocolate products intended for human consumption.Note: This Draft Tanzania Standard was also notified under TBT Committee.</t>
  </si>
  <si>
    <d:r xmlns:d="http://schemas.openxmlformats.org/spreadsheetml/2006/main">
      <d:rPr>
        <d:sz val="11"/>
        <d:rFont val="Calibri"/>
      </d:rPr>
      <d:t xml:space="preserve">https://members.wto.org/crnattachments/2024/SPS/TZA/24_08322_00_e.pdf</d:t>
    </d:r>
  </si>
  <si>
    <t>DARS 1063:2024, Green coffee beans — Specification, First Edition</t>
  </si>
  <si>
    <t>This African Standard specifies requirements, sampling and test methods for green coffee beans. This standard applies to both Arabica (Coffea arabica L.) and Robusta (Coffea canephora) coffee.Note: This Draft Tanzania Standard was also notified under TBT Committee.</t>
  </si>
  <si>
    <d:r xmlns:d="http://schemas.openxmlformats.org/spreadsheetml/2006/main">
      <d:rPr>
        <d:sz val="11"/>
        <d:rFont val="Calibri"/>
      </d:rPr>
      <d:t xml:space="preserve">https://members.wto.org/crnattachments/2024/SPS/TZA/24_08315_00_e.pdf</d:t>
    </d:r>
  </si>
  <si>
    <t>DARS 1814:2024, Roasted coffee beans and roasted ground coffee — Specification, First Edition</t>
  </si>
  <si>
    <t>This Draft African Standard specifies the requirements, sampling and test methods for roasted coffee beans and roasted ground coffee intended for human consumption.  This standard also applies to decaffeinated roasted ground coffee. Note: This Draft Tanzania Standard was also notified under TBT Committee.</t>
  </si>
  <si>
    <t>Roasted, decaffeinated coffee (HS code(s): 090122); Coffee and coffee substitutes (ICS code(s): 67.140.20)</t>
  </si>
  <si>
    <t>090122 - Roasted, decaffeinated coffee</t>
  </si>
  <si>
    <d:r xmlns:d="http://schemas.openxmlformats.org/spreadsheetml/2006/main">
      <d:rPr>
        <d:sz val="11"/>
        <d:rFont val="Calibri"/>
      </d:rPr>
      <d:t xml:space="preserve">https://members.wto.org/crnattachments/2024/SPS/TZA/24_08310_00_e.pdf</d:t>
    </d:r>
  </si>
  <si>
    <t>Proyecto de Resolución Directoral para la actualización de requisitos fitosanitarios de necesario cumplimiento en la importación de plantas de frambueso (Rubus idaeus L.) de origen y procedencia Chile (Draft Directorial Resolution updating the mandatory phytosanitary requirements for the importation of raspberry (Rubus idaeus L.) plants originating in and coming from Chile)</t>
  </si>
  <si>
    <t>The notified draft phytosanitary requirements governing the importation of raspberry (Rubus idaeus L.) plants originating in and coming from Chile are being submitted for public consultation following the completion of the pest risk analysis.</t>
  </si>
  <si>
    <t>Raspberry (Rubus idaeus L.) plants, HS code: 060220</t>
  </si>
  <si>
    <d:r xmlns:d="http://schemas.openxmlformats.org/spreadsheetml/2006/main">
      <d:rPr>
        <d:sz val="11"/>
        <d:rFont val="Calibri"/>
      </d:rPr>
      <d:t xml:space="preserve">https://members.wto.org/crnattachments/2024/SPS/PER/24_08277_00_s.pdf
El texto lo puede descargar de la página web del SENASA
 cuya ruta es la siguiente: 
http://www.senasa.gob.pe/senasa/consulta-publica/ (disponible en español)</d:t>
    </d:r>
  </si>
  <si>
    <t>DARS 1066:2024, Herbal and fruit infusions — Specification, First Edition</t>
  </si>
  <si>
    <t>This draft African Standard specifies requirements, sampling and test methods for herbal and fruit infusions intended for human consumption. Any use for medicinal purposes is not within the scope of this standard.Note: This Draft Tanzania Standard was also notified under TBT Committee.</t>
  </si>
  <si>
    <d:r xmlns:d="http://schemas.openxmlformats.org/spreadsheetml/2006/main">
      <d:rPr>
        <d:sz val="11"/>
        <d:rFont val="Calibri"/>
      </d:rPr>
      <d:t xml:space="preserve">https://members.wto.org/crnattachments/2024/SPS/TZA/24_08316_00_e.pdf</d:t>
    </d:r>
  </si>
  <si>
    <t>DARS 1067:2024, Cocoa Powder Mixtures/Drinking Chocolate — Specification, First Edition</t>
  </si>
  <si>
    <t>This African Standard specifies the requirements, sampling and referenced test methods for wet and dry cocoa powder mixtures/drinking chocolate intended for direct human consumption.This standard is not applicable to ready–to–drink cocoa mixture.Note: This Draft Tanzania Standard was also notified under TBT Committee.</t>
  </si>
  <si>
    <d:r xmlns:d="http://schemas.openxmlformats.org/spreadsheetml/2006/main">
      <d:rPr>
        <d:sz val="11"/>
        <d:rFont val="Calibri"/>
      </d:rPr>
      <d:t xml:space="preserve">https://members.wto.org/crnattachments/2024/SPS/TZA/24_08317_00_e.pdf</d:t>
    </d:r>
  </si>
  <si>
    <t>Safer Products Restrictions and Reporting</t>
  </si>
  <si>
    <t>The Safer Products Restrictions and Reporting Rule (Chapter 173-337 WAC), adopted in 2023, implements the Safer Products for Washington program. This rule applies to priority consumer products manufactured, distributed, sold, or offered for sale within, or into, Washington that contain a priority chemical. Manufacturers must comply with restrictions on some consumer products beginning 1 January 2025. They must submit reports if they use intentionally added priority chemicals in other products that were identified in the rule. They must identify and track these products starting from the reporting requirements effective date, 1 January 2024.For more detailed information on submission requirements and timelines, see the compliance and reporting webpageKey Compliance Deadlines: Restrictions: Restrictions on certain intentionally added priority chemicals take effect 1 January 2025. Note: If there's a restriction, you don't report. Initial Reporting: Manufacturers, distributors, and retailers required to report must submit their first notification through the High Priority Chemicals Data System (HPCDS) by 31 January 2025. Note: If there is a reporting requirement, the chemical isn't restricted.  First-time users need to create an HPCDS account before submitting information. Click 'Register' under the Log in button. See reporting requirements (WAC 173-337-060) for details about the information that must be included in annual reports.Ongoing Reporting: Products tracked beginning 1 January 2024, must be reported by 31 January 2025. Every year thereafter, manufacturers are required to report the previous year's products by 31 January of the following year. ResourcesWashington State Department of Ecology has launched a new compliance and reporting webpage for Safer Products for Washington that provides detailed information on restrictions and reporting requirements, resources to help with compliance, and answers to frequently asked questions related to compliance with the rule. The Resource for Complying with the Safer Products for Washington Rule: Electric and Electronic Products is a valuable tool for businesses that manufacture, sell, or distribute electric and electronic products. Exemption Request Process Resource: Safer Products Restrictions and Reporting, Chapter 173-337 WAC can help answer questions about requesting an exemption. </t>
  </si>
  <si>
    <t>Toxic chemicals in consumer products; Environmental protection (ICS code(s): 13.020); Domestic safety (ICS code(s): 13.120); Products of the textile industry (ICS code(s): 59.080); Leather products (ICS code(s): 59.140.35); Production in the chemical industry (ICS code(s): 71.020); Products of the chemical industry (ICS code(s): 71.100); Furniture (ICS code(s): 97.140); Non-textile floor coverings (ICS code(s): 97.150)</t>
  </si>
  <si>
    <t>13.020 - Environmental protection; 13.020 - Environmental protection; 13.120 - Domestic safety; 13.120 - Domestic safety; 59.080 - Products of the textile industry; 59.080 - Products of the textile industry; 59.140.35 - Leather products; 59.140.35 - Leather products; 71.020 - Production in the chemical industry; 71.020 - Production in the chemical industry; 71.100 - Products of the chemical industry; 71.100 - Products of the chemical industry; 97.140 - Furniture; 97.140 - Furniture; 97.150 - Non-textile floor coverings; 97.150 - Non-textile floor coverings</t>
  </si>
  <si>
    <t>DARS 1062:2024, Instant (soluble) coffee — Specification, First Edition</t>
  </si>
  <si>
    <t>This African Standard specifies requirements, sampling, and test methods for instant (soluble) coffee for human consumption.This standard also applies to decaffeinated instant coffee.Note: This Draft Tanzania Standard was also notified under TBT Committee.</t>
  </si>
  <si>
    <d:r xmlns:d="http://schemas.openxmlformats.org/spreadsheetml/2006/main">
      <d:rPr>
        <d:sz val="11"/>
        <d:rFont val="Calibri"/>
      </d:rPr>
      <d:t xml:space="preserve">https://members.wto.org/crnattachments/2024/SPS/TZA/24_08311_00_e.pdf</d:t>
    </d:r>
  </si>
  <si>
    <t>DARS 1823:2024, Liquid coffee — Specification, First Edition</t>
  </si>
  <si>
    <t>This Draft African Standard specifies the requirements, sampling and test methods for liquid coffee intended for human consumption.Note: This Draft Tanzania Standard was also notified under TBT Committee.</t>
  </si>
  <si>
    <d:r xmlns:d="http://schemas.openxmlformats.org/spreadsheetml/2006/main">
      <d:rPr>
        <d:sz val="11"/>
        <d:rFont val="Calibri"/>
      </d:rPr>
      <d:t xml:space="preserve">https://members.wto.org/crnattachments/2024/SPS/TZA/24_08314_00_e.pdf</d:t>
    </d:r>
  </si>
  <si>
    <t>DARS 1813:2024, Cocoa Powder — Specification, First Edition</t>
  </si>
  <si>
    <t>This African Standard specifies quality and safety requirements, reference sampling and test methods, packaging and labelling for natural cocoa powder and alkalized cocoa powder intended for human consumption.Note: This Draft Tanzania Standard was also notified under TBT Committee.</t>
  </si>
  <si>
    <t>Cocoa powder, not containing added sugar or other sweetening matter (HS code(s): 1805); Cocoa (ICS code(s): 67.140.30)</t>
  </si>
  <si>
    <d:r xmlns:d="http://schemas.openxmlformats.org/spreadsheetml/2006/main">
      <d:rPr>
        <d:sz val="11"/>
        <d:rFont val="Calibri"/>
      </d:rPr>
      <d:t xml:space="preserve">https://members.wto.org/crnattachments/2024/SPS/TZA/24_08318_00_e.pdf</d:t>
    </d:r>
  </si>
  <si>
    <t>DARS 1818:2024, Cocoa Mass (Liquor) —  Specification, First Edition</t>
  </si>
  <si>
    <t>This African Standard specifies the quality and safety requirements as well as packaging and labelling for cocoa mass (liquor) intended for human consumption.Note: This Draft Tanzania Standard was also notified under TBT Committee.</t>
  </si>
  <si>
    <t>Cocoa paste, whether or not defatted (HS code(s): 1803); Cocoa (ICS code(s): 67.140.30)</t>
  </si>
  <si>
    <t>1803 - Cocoa paste, whether or not defatted</t>
  </si>
  <si>
    <d:r xmlns:d="http://schemas.openxmlformats.org/spreadsheetml/2006/main">
      <d:rPr>
        <d:sz val="11"/>
        <d:rFont val="Calibri"/>
      </d:rPr>
      <d:t xml:space="preserve">https://members.wto.org/crnattachments/2024/SPS/TZA/24_08323_00_e.pdf</d:t>
    </d:r>
  </si>
  <si>
    <t>Atrazine; Updated Proposed Mitigation for the Interim Registration Review Decision; Notice of Availability and Request for Comment</t>
  </si>
  <si>
    <t xml:space="preserve">The Environmental Protection Agency is 
announcing the availability of and requesting comment on EPA's proposed 
updates to the mitigation in the interim registration review decision 
for atrazine. The updated mitigation proposal for 
atrazine 
incorporates the revised level of concern of 9.7 micrograms per liter 
([micro]g/L) as well as corrections to exposure modeling and feedback 
received during the 2022 public comment period. EPA is releasing its 
updated mitigation proposal to reduce run-off/erosion, which will 
expand the number of options of mitigation measures growers can choose 
to implement to reduce potential exposure and risk to aquatic plant 
communities from atrazine runoff in vulnerable watersheds. The proposal 
includes placing mitigations on the product labeling, directing users 
to EPA's mitigation menu website and to the Bulletins Live! Two system. 
The Agency is not soliciting comment on any other aspects of the 
atrazine interim registration review decision. </t>
  </si>
  <si>
    <t>Atrazine</t>
  </si>
  <si>
    <d:r xmlns:d="http://schemas.openxmlformats.org/spreadsheetml/2006/main">
      <d:rPr>
        <d:sz val="11"/>
        <d:rFont val="Calibri"/>
      </d:rPr>
      <d:t xml:space="preserve">https://www.govinfo.gov/content/pkg/FR-2024-12-05/html/2024-28459.htm</d:t>
    </d:r>
  </si>
  <si>
    <t>Proposals to Amend the New Zealand Food Notice: Maximum Residue Levels for Agricultural Compounds</t>
  </si>
  <si>
    <t>The document contains technical details on proposals to amend the current Notice issued under the Food Act 2014 that lists the maximum residue levels (MRLs) for agricultural compounds in New Zealand.MPI proposes the following amendments to the Notice:New MRL entries for the following compounds and commodities:Hydrocortisone aceponate: 0.05(*) mg/kg in cattle eat and cattle offal, and 0.01 mg/kg in cattle milk.The amendment of existing MRL entries for the following compounds and commodities:Diflufenican: 0.01(*) mg/kg in rye and triticale, and 0.02(*) mg/kg in poultry fat.Pydiflumetofen: 0.015 mg/kg in apples and pears.Tetracyclines: 0.4 mg/kg in poultry eggs.(*) indicates that the maximum residue level has been set at or about the limit of analytical quantification.</t>
  </si>
  <si>
    <t>Vegetables, fruit, animal products, and other food products</t>
  </si>
  <si>
    <d:r xmlns:d="http://schemas.openxmlformats.org/spreadsheetml/2006/main">
      <d:rPr>
        <d:sz val="11"/>
        <d:rFont val="Calibri"/>
      </d:rPr>
      <d:t xml:space="preserve">https://members.wto.org/crnattachments/2024/SPS/NZL/24_08238_00_e.pdf</d:t>
    </d:r>
  </si>
  <si>
    <t>Indonesia</t>
  </si>
  <si>
    <t>Regulation of the Indonesian Food and Drug Authority Number 16 Year 2024 on Contamination Limits in Cosmetics</t>
  </si>
  <si>
    <t>This regulation is a revised version of the Indonesian FDA Regulation Number 12 Year 2019 on Contamination in Cosmetics. Once this new regulation is enacted, the previous regulation (Regulation of the Indonesian FDA Number 12 Year 2019 on Contamination in Cosmetics) will be revoked.This regulation sets out general provisions, requirements, contamination limits, tests, sanctions, and an appendix containing contamination limits.The appendix contains as follows:microbial contamination limitsheavy metal contamination limitschemical contamination limits</t>
  </si>
  <si>
    <t>Cosmetics</t>
  </si>
  <si>
    <t>71.100.70 - Cosmetics. Toiletries</t>
  </si>
  <si>
    <d:r xmlns:d="http://schemas.openxmlformats.org/spreadsheetml/2006/main">
      <d:rPr>
        <d:sz val="11"/>
        <d:rFont val="Calibri"/>
      </d:rPr>
      <d:t xml:space="preserve">https://members.wto.org/crnattachments/2024/TBT/IDN/24_08244_00_x.pdf</d:t>
    </d:r>
  </si>
  <si>
    <t>Draft resolution 1293, 28 November 2024</t>
  </si>
  <si>
    <t>This Draft Resolution proposes the review of the "List of simplified market registration herbal medicines" and the "List of simplified market registration traditional herbal products".</t>
  </si>
  <si>
    <t>Medicaments (ICS code(s): 11.120.10)</t>
  </si>
  <si>
    <t>2909 - Ethers, ether-alcohols, ether-phenols, ether-alcohol-phenols, alcohol peroxides, ether peroxides, acetal and hemiacetal peroxides, ketone peroxides, whether or not chemically defined, and their halogenated, sulphonated, nitrated or nitrosated derivatives</t>
  </si>
  <si>
    <t>11.120.10 - Medicaments</t>
  </si>
  <si>
    <d:r xmlns:d="http://schemas.openxmlformats.org/spreadsheetml/2006/main">
      <d:rPr>
        <d:sz val="11"/>
        <d:rFont val="Calibri"/>
      </d:rPr>
      <d:t xml:space="preserve">https://members.wto.org/crnattachments/2024/TBT/BRA/24_08252_00_x.pdf</d:t>
    </d:r>
  </si>
  <si>
    <t>Belize</t>
  </si>
  <si>
    <t>DRAFT BELIZE STANDARD SPECIFICATION FOR ENERGY LABELLING AND REQUIREMENTS FOR REFRIGERATING EQUIPMENT</t>
  </si>
  <si>
    <t>This standard establishes the minimum energy performance standards (MEPs) for refrigerating appliances and relevant test method to specify the energy label.  It also specifies the energy label requirements.  This standard is intended to improve the energy performance for refrigerators. The application of the standard is expected to improve energy efficiency in Belize through the availability, selection and usage of more energy efficient refrigerators. The information given on the energy label provides consumers with information for consideration when making a purchasing decision. The requirements of this standard are expected to drive manufacturers, importers and retailers to provide more energy efficient refrigerator options to consumers as they compete to offer better value for money and accelerate the market place transition to more energy efficient refrigerators. Ultimately, all refrigerating appliances intended for household use will be required to be registered under Belize's Energy Efficiency Labelling Scheme (EELS) prior to retail sale.</t>
  </si>
  <si>
    <t>- Refrigerators, household type: (HS code(s): 84182) ICS 27.200</t>
  </si>
  <si>
    <t>84182 - - Refrigerators, household type:</t>
  </si>
  <si>
    <t>27.200 - Refrigerating technology</t>
  </si>
  <si>
    <t>Consumer information, labelling (TBT); Prevention of deceptive practices and consumer protection (TBT); Protection of the environment (TBT)</t>
  </si>
  <si>
    <d:r xmlns:d="http://schemas.openxmlformats.org/spreadsheetml/2006/main">
      <d:rPr>
        <d:sz val="11"/>
        <d:rFont val="Calibri"/>
      </d:rPr>
      <d:t xml:space="preserve">https://bbs.gov.bz/standards-for-comments/</d:t>
    </d:r>
  </si>
  <si>
    <t>Summary of Proposed the Partial Amendment of "Safety Regulations of Road Vehicles", etc.</t>
  </si>
  <si>
    <t>(1) Amend to establish appropriate safety requirements to small electric-powered motorized bicycles including electric mopeds and create an environment where they can be used safely. (2) Amend to apply the requirements regarding the limitation on maximum power to new “first-class motorized bicycles”, or motorized bicycles which have an internal combustion engine whose displacement is more than 0.050 liter and equal to or less than 0.125 liter and whose maximum power is equal to or less than 4.0 kilowatts. (3) Amend to allow the large-sized and small-sized special motor vehicles to install the “Automated Driving System”.</t>
  </si>
  <si>
    <t>Ships' derricks; cranes, incl. cable cranes (excl. wheel-mounted cranes and vehicle cranes for railways); mobile lifting frames, straddle carriers and works trucks fitted with a crane (HS code(s): 8426); Fork-lift trucks; other works trucks fitted with lifting or handling equipment (excl. straddle carriers and works trucks fitted with a crane) (HS code(s): 8427); Self-propelled bulldozers, angledozers, graders, levellers, scrapers, mechanical shovels, excavators, shovel loaders, tamping machines and roadrollers (HS code(s): 8429); Moving, grading, levelling, scraping, excavating, tamping, compacting, extracting or boring machinery, for earth, minerals or ores; pile-drivers and pile-extractors; snowploughs and snowblowers (excl. those mounted on railway wagons, motor vehicle chassis or lorries, self-propelled machinery of heading 8429, lifting, handling, loading or unloading machinery of heading 8425 to 8428 and hand-operated tools) (HS code(s): 8430); Agricultural, horticultural or forestry machinery for soil preparation or cultivation (excl. sprayers and dusters); lawn or sports-ground rollers; parts thereof (HS code(s): 8432); Harvesting or threshing machinery, incl. straw or fodder balers; grass or hay mowers; machines for cleaning, sorting or grading eggs, fruit or other agricultural produce; parts thereof (other than machines for cleaning, sorting or grading seed, grain or dried leguminous vegetables of heading 8437) (HS code(s): 8433); Tractors (other than tractors of heading 8709) (HS code(s): 8701); Works trucks, self-propelled, not fitted with lifting or handling equipment, of the type used in factories, warehouses, dock areas or airports for short distance transport of goods; tractors of the type used on railway station platforms; parts of the foregoing vehicles, n.e.s. (HS code(s): 8709); Motorcycles, incl. mopeds, and cycles fitted with an auxiliary motor, with or without side-cars; side-cars (HS code(s): 8711)</t>
  </si>
  <si>
    <t>8426 - Ships' derricks; cranes, incl. cable cranes (excl. wheel-mounted cranes and vehicle cranes for railways); mobile lifting frames, straddle carriers and works trucks fitted with a crane; 8427 - Fork-lift trucks; other works trucks fitted with lifting or handling equipment (excl. straddle carriers and works trucks fitted with a crane); 8429 - Self-propelled bulldozers, angledozers, graders, levellers, scrapers, mechanical shovels, excavators, shovel loaders, tamping machines and roadrollers; 8430 - Moving, grading, levelling, scraping, excavating, tamping, compacting, extracting or boring machinery, for earth, minerals or ores; pile-drivers and pile-extractors; snowploughs and snowblowers (excl. those mounted on railway wagons, motor vehicle chassis or lorries, self-propelled machinery of heading 8429, lifting, handling, loading or unloading machinery of heading 8425 to 8428 and hand-operated tools); 8432 - Agricultural, horticultural or forestry machinery for soil preparation or cultivation (excl. sprayers and dusters); lawn or sports-ground rollers; parts thereof; 8433 - Harvesting or threshing machinery, incl. straw or fodder balers; grass or hay mowers; machines for cleaning, sorting or grading eggs, fruit or other agricultural produce; parts thereof (other than machines for cleaning, sorting or grading seed, grain or dried leguminous vegetables of heading 8437); 8701 - Tractors (other than tractors of heading 8709); 8709 - Works trucks, self-propelled, not fitted with lifting or handling equipment, of the type used in factories, warehouses, dock areas or airports for short distance transport of goods; tractors of the type used on railway station platforms; parts of the foregoing vehicles, n.e.s.; 8711 - Motorcycles, incl. mopeds, and cycles fitted with an auxiliary motor, with or without side-cars; side-cars</t>
  </si>
  <si>
    <t>43.020 - Road vehicles in general; 43.140 - Motorcycles and mopeds; 43.160 - Special purpose vehicles; 53.100 - Earth-moving machinery; 65.060.10 - Agricultural tractors and trailed vehicles</t>
  </si>
  <si>
    <d:r xmlns:d="http://schemas.openxmlformats.org/spreadsheetml/2006/main">
      <d:rPr>
        <d:sz val="11"/>
        <d:rFont val="Calibri"/>
      </d:rPr>
      <d:t xml:space="preserve">https://members.wto.org/crnattachments/2024/TBT/JPN/24_08249_00_e.pdf</d:t>
    </d:r>
  </si>
  <si>
    <t>Proposition 65: Clear and Reasonable Warnings – Safe Harbor Methods and Content</t>
  </si>
  <si>
    <t>The California Office of Environmental Health Hazard Assessment (OEHHA) has amended Title 27, California Code of Regulations sections 25601, 25602, 25603, and 25607.2, and added new sections 25607.50 through 25607.53This regulatory action will make the Proposition 65 short-form warning more informative to consumers by adding at least one chemical name and providing additional warning options for businesses to select from. The regulations provide businesses that currently rely on the existing short-form warnings three years to transition to the new short-form content, make explicit that short-form warnings may be used to provide safe harbor warnings for food products, provide a 60-day transition period, during the three-year implementation period for retailers to update online short-form warnings after notice from a manufacturer, and provide new tailored safe harbor warnings for passenger or off-highway motor vehicle parts and recreational marine vessel parts.</t>
  </si>
  <si>
    <t>Consumer product exposure warnings; Special purpose vehicles (ICS code(s): 43.160); Small craft (ICS code(s): 47.080); Prepackaged and prepared foods (ICS code(s): 67.230)</t>
  </si>
  <si>
    <t>43.160 - Special purpose vehicles; 47.080 - Small craft; 67.230 - Prepackaged and prepared foods; 43.160 - Special purpose vehicles; 47.080 - Small craft; 67.230 - Prepackaged and prepared foods</t>
  </si>
  <si>
    <d:r xmlns:d="http://schemas.openxmlformats.org/spreadsheetml/2006/main">
      <d:rPr>
        <d:sz val="11"/>
        <d:rFont val="Calibri"/>
      </d:rPr>
      <d:t xml:space="preserve">https://members.wto.org/crnattachments/2024/TBT/USA/final_measure/24_08241_00_e.pdf
https://oehha.ca.gov/proposition-65/crnr/proposition-65-clear-and-reasonable-warnings-safe-harbor-methods-and-content</d:t>
    </d:r>
  </si>
  <si>
    <t>Notice of Decision Not To Proceed for the Public Hearing to Consider Proposed Amendments to On-Road Motorcycle Emission Standards and Test Procedures and Adoption of New On-Board Diagnostics and Zero-Emission Motorcycle Requirements</t>
  </si>
  <si>
    <t>By notice dated 14 November 2023, and published in the 1 December 2023, California Notice Register, Register 2023, No. 48-Z (page 1566), the California Air Resources Board (CARB or Board) announced it would conduct a public hearing to consider approving for adoption the proposed amendments to the On-Road Motorcycle (ONMC) emission standards and test procedures and adoption of new provisions relating to ONMCs under Division 3, Chapter 1, Article 2 (Approval of Motor Vehicle Pollution Control Devices) under Title 13, California Code of Regulations. By notice dated 7 November 2024, the Board announced the postponement of the public hearing, scheduled for 7 November 2024.Please be advised that the proposed amendments to ONMC emission standards and test procedures and adoption of new provisions relating to ONMCs have been withdrawn. Pursuant to Government Code section 11347, publication of this Notice of Decision Not to Proceed hereby terminates the rulemaking action as originally noticed on 1 December 2023, in the California Regulatory Notice.CARB may propose a new regulatory action that is similar or identical to the regulatory action that is subject to this notice. If proposed, a subsequent notice will follow in the future with more information, including the date, time, and location of the hearing.CARB's On-Road Motorcycles Regulation: https://ww2.arb.ca.gov/rulemaking/2024/on-roadmotorcyclesregulationNotice of Decision Not To Proceed: https://ww2.arb.ca.gov/sites/default/files/barcu/regact/2024/onmc/noticecancellation.pdf</t>
  </si>
  <si>
    <t>Motorcycle emissions; Environmental protection (ICS code(s): 13.020); Air quality (ICS code(s): 13.040); Test conditions and procedures in general (ICS code(s): 19.020); Motorcycles and mopeds (ICS code(s): 43.140)</t>
  </si>
  <si>
    <t>13.020 - Environmental protection; 13.040 - Air quality; 19.020 - Test conditions and procedures in general; 43.140 - Motorcycles and mopeds; 13.020 - Environmental protection; 13.040 - Air quality; 19.020 - Test conditions and procedures in general; 43.140 - Motorcycles and mopeds</t>
  </si>
  <si>
    <t>Reconoce informes de examen de distinción, homogeneidad y estabilidad emitidos por la oficina comunitaria de variedades vegetales (Recognition of distinctness, uniformity and stability test reports issued by the Community Plant Variety Office) (3 pages, in Spanish)</t>
  </si>
  <si>
    <t>The notified text allows varieties for which an application has already been made and which have already been examined at the Community Plant Variety Office (CPVO), with a positive result, to be recognized on the basis of the distinctness, uniformity and stability (DUS) report issued by the CPVO, for the granting of a plant breeders' rights certificate in Chile. This will allow for a procedure that is more efficient in terms of the use of Agriculture and Livestock Service resources, meaning that plant breeders will be able to obtain a certificate in less time. Further details can be found in the document attached to this notification.</t>
  </si>
  <si>
    <t>Seeds</t>
  </si>
  <si>
    <t>65.020.20 - Plant growing</t>
  </si>
  <si>
    <t>Protection of human health or safety (TBT); Protection of animal or plant life or health (TBT); Protection of the environment (TBT)</t>
  </si>
  <si>
    <d:r xmlns:d="http://schemas.openxmlformats.org/spreadsheetml/2006/main">
      <d:rPr>
        <d:sz val="11"/>
        <d:rFont val="Calibri"/>
      </d:rPr>
      <d:t xml:space="preserve">https://members.wto.org/crnattachments/2024/TBT/CHL/24_08248_00_s.pdf</d:t>
    </d:r>
  </si>
  <si>
    <t> DARS 1819:2024,Cocoa press cake — Specification,First Edition.Note: This Draft Tanzania Standard was also notified under SPS committee</t>
  </si>
  <si>
    <t>This Draft African Standard specifies quality and safety requirements, sampling and test methods, packaging and labelling for cocoa press cake for use in the manufacture of cocoa and chocolate products intended for human consumption.</t>
  </si>
  <si>
    <t>Cocoa beans, whole or broken, raw or roasted. (HS code(s): 1801); Cocoa (ICS code(s): 67.140.30)</t>
  </si>
  <si>
    <d:r xmlns:d="http://schemas.openxmlformats.org/spreadsheetml/2006/main">
      <d:rPr>
        <d:sz val="11"/>
        <d:rFont val="Calibri"/>
      </d:rPr>
      <d:t xml:space="preserve">https://members.wto.org/crnattachments/2024/TBT/TZA/24_08247_00_e.pdf</d:t>
    </d:r>
  </si>
  <si>
    <t>Regulation of the Indonesian Food and Drug Authority Number 15 Year 2024 on Amendments to the Regulation of the Indonesian Food and Drug Authority Number 32 Year 2022 on Criteria and Procedures for the Registration of Health Supplement</t>
  </si>
  <si>
    <t>This regulation specifically amend maximum limit for Selenium in Health Supplements for Pregnant and Breastfeeding Mothers from 60 mcg/day to 65 mcg/day (in elemental form). </t>
  </si>
  <si>
    <t>Health Supplements</t>
  </si>
  <si>
    <d:r xmlns:d="http://schemas.openxmlformats.org/spreadsheetml/2006/main">
      <d:rPr>
        <d:sz val="11"/>
        <d:rFont val="Calibri"/>
      </d:rPr>
      <d:t xml:space="preserve">https://members.wto.org/crnattachments/2024/TBT/IDN/24_08245_00_x.pdf</d:t>
    </d:r>
  </si>
  <si>
    <t>SDA/MAPA Ordinance No. 1.204, 28 November 2024.</t>
  </si>
  <si>
    <t>Establishes procedures for the registration, control and inspection of establishments for the collection and processing of embryos of domestic animals.The following are revoked:I - Normative Instruction No. 55, 27 September 2006, published in the Official Gazette of the Union No. 191, Section 1, Page 22 on 4 October 2006; andII - Normative Instruction No. 57, 27 September 2006, published in the Official Gazette of the Union No. 191, Section 1, Page 26 on 4 October 2006.</t>
  </si>
  <si>
    <t>Animal embryos (HS code(s): 05119910)</t>
  </si>
  <si>
    <t>051199 - Products of animal origin, n.e.s., dead animals, unfit for human consumption (excl. fish, crustaceans, molluscs or other aquatic invertebrates)</t>
  </si>
  <si>
    <t>65.020.30 - Animal husbandry and breeding</t>
  </si>
  <si>
    <t>Protection of animal or plant life or health (TBT); Quality requirements (TBT); Other (TBT)</t>
  </si>
  <si>
    <t>Animal health</t>
  </si>
  <si>
    <d:r xmlns:d="http://schemas.openxmlformats.org/spreadsheetml/2006/main">
      <d:rPr>
        <d:sz val="11"/>
        <d:rFont val="Calibri"/>
      </d:rPr>
      <d:t xml:space="preserve">https://www.in.gov.br/web/dou/-/portaria-sda/mapa-n-1.204-de-28-de-novembro-de-2024-598849527</d:t>
    </d:r>
  </si>
  <si>
    <t>Improving Public Safety Communications in the 4.9 GHz Band</t>
  </si>
  <si>
    <t xml:space="preserve">In this document, the Federal Communications Commission (FCC) announces that the Office of Management and Budget (OMB) has approved, for a period of three years, the information collections associated with certain rules adopted in the Seventh Report and Order, in WP Docket No. 07-100; FCC 23-3. This document is consistent with the Seventh Report and Order, which directs the Public Safety and Homeland Security Bureau and the Wireless Telecommunications Bureau to publish a document in the Federal Register announcing a compliance date for the rule section and revise the rule accordingly.Effective Date: 9 December 2024. Compliance Date: Compliance with 47 CFR 90.1207(e) and (f) published at 88 FR 12565 on 28 February 2023 (notified in G/TBT/N/USA/1968), is required as of 9 December 2024.89 Federal Register (FR) 97559, 9 December 2024; Title 47 Code of Federal Regulations (CFR) Part 90_x000D_
https://www.govinfo.gov/content/pkg/FR-2024-12-09/html/2024-26893.htm_x000D_
https://www.govinfo.gov/content/pkg/FR-2024-12-09/pdf/2024-26893.pdfThis final rule, announcement of compliance date is identified by WP Docket No. 07-100FCC 23-3. Documents are also accessible from the FCC's Electronic Document Management System (EDOCS) by searching the WP Docket Number. Comments ("filings") posted by the FCC in the Electronic Comment Filing System (ECFS) are accessible at https://www.fcc.gov/ecfs/search/search-filings/results?q=(proceedings.name:(%2207-100%22)+AND+submissiontype.description:(%22COMMENT%22))</t>
  </si>
  <si>
    <t>Public safety communications; Domestic safety (ICS code(s): 13.120); Radiocommunications (ICS code(s): 33.060)</t>
  </si>
  <si>
    <t>13.120 - Domestic safety; 13.120 - Domestic safety; 33.060 - Radiocommunications; 33.060 - Radiocommunications</t>
  </si>
  <si>
    <d:r xmlns:d="http://schemas.openxmlformats.org/spreadsheetml/2006/main">
      <d:rPr>
        <d:sz val="11"/>
        <d:rFont val="Calibri"/>
      </d:rPr>
      <d:t xml:space="preserve">https://members.wto.org/crnattachments/2024/TBT/USA/24_08239_00_e.pdf</d:t>
    </d:r>
  </si>
  <si>
    <t>DRAFT BELIZE STANDARD SPECIFICATION FOR ENERGY LABELLING AND REQUIREMENTS FOR AIR CONDITIONERS</t>
  </si>
  <si>
    <t xml:space="preserve">This document specifies the energy labelling requirements and the Minimum Energy Performance (MEPS) requirements for non-ducted air-conditioners, single-package or split-system, with only one interior unit, through parameters namely for Energy efficiency ratio (EER); and Coefficiency of Peformance (COP). This standard is intended to improve the energy performance for air conditioners. The application of the standard is expected to improve energy efficiency in Belize through the availability, selection and usage of more energy efficient air conditioners. The information given on the energy label provides consumers with information for consideration when making a purchasing decision. The requirements of this standard are expected to drive manufacturers, importers and retailers to provide more energy efficient refrigerator options to consumers as they compete to offer better value for money and accelerate the market place transition to more energy efficient air conditioners. Ultimately, all ACs intended for household use will need to be registered through Belize's Energy Efficiency Labelling Scheme which becomes mandatory when these standards are established as compulsory._x000D_
</t>
  </si>
  <si>
    <t>Air conditioning machines designed to be fixed to a window, wall, ceiling or floor, self-contained or "split-system" (HS code(s): 841510);  ICS 23.120</t>
  </si>
  <si>
    <t>841510 - Air conditioning machines designed to be fixed to a window, wall, ceiling or floor, self-contained or "split-system"</t>
  </si>
  <si>
    <t>23.120 - Ventilators. Fans. Air-conditioners</t>
  </si>
  <si>
    <t>Draft resolution 1294, 28 November 2024</t>
  </si>
  <si>
    <t>This Draft Resolution contains provisions on the classification in the priority category of petitions for market registration, post-market registration and prior approval in clinical research of medicines</t>
  </si>
  <si>
    <d:r xmlns:d="http://schemas.openxmlformats.org/spreadsheetml/2006/main">
      <d:rPr>
        <d:sz val="11"/>
        <d:rFont val="Calibri"/>
      </d:rPr>
      <d:t xml:space="preserve">https://members.wto.org/crnattachments/2024/TBT/BRA/24_08251_00_x.pdf</d:t>
    </d:r>
  </si>
  <si>
    <t xml:space="preserve">Approval of proposed draft amendments to Supreme Decree No. 39 of 2020 of the Ministry of the Environment establishing an emission standard for non-road machinery  Approval of proposed draft amendments to Supreme Decree No. 39 of 2020 of the Ministry of the Environment establishing an emission standard for non-road machinery.  With regard to the proposed draft amendments to Article 2 and Article 3 of the Emission Standard for Non-Road Machinery contained in Supreme Decree No. 39 of 2020 of the Ministry of the Environment, notified on 16 October 2024 in document G/TBT/N/CHL/706, the Republic of Chile hereby advises that the details in sections 9 and 10 of the aforementioned notification have been corrected, in relation to the proposed date of adoption, which is 1 January 2030, and the proposed date of entry into force on 21 October 2024. Furthermore, the requirement that agricultural machinery other than tractors shall not be affected by the standard has been eliminated.  Please be advised that the standard in question was issued on 11 October 2024 through Supreme Decree No. 33 of the Ministry of the Environment, published on 21 October 2024 at https://www.diariooficial.interior.gob.cl/edicionelectronica/index.php?date=21-10-2024&amp;edition=43979-B&amp;v=2</t>
  </si>
  <si>
    <t>Tractors and agricultural machinery other than tractors</t>
  </si>
  <si>
    <t>65.060.10 - Agricultural tractors and trailed vehicles; 65.060.10 - Agricultural tractors and trailed vehicles</t>
  </si>
  <si>
    <t>DUS DARS 931:2024, Fresh Onions and Shallots — Specifications, First edition</t>
  </si>
  <si>
    <t>This Uganda standard applies to onion bulbs of varieties grown from Allium cepa L. Cepa group and shallot bulbs grown from Allium cepa Aggregatum group and grey shallots grown from Allium oschaninii O Fedtsch, to be supplied fresh to the consumer. Green onions and green shallots with full leaves as well as onions and shallots intended for industrial processing are excluded. Onions and shallots may be of the following shapes: round, oval/elongated, long or demi-long. Onions and shallots shall have skin colour characteristics of the variety, including white, purple, cream, pink, red, grey, yellow, or brown.Note: This Draft Uganda Standards was also notified to the TBT Committee.</t>
  </si>
  <si>
    <t>Fresh or chilled onions and shallots (HS code(s): 070310); Vegetables and derived products (ICS code(s): 67.080.20)</t>
  </si>
  <si>
    <t>070310 - Fresh or chilled onions and shallots</t>
  </si>
  <si>
    <d:r xmlns:d="http://schemas.openxmlformats.org/spreadsheetml/2006/main">
      <d:rPr>
        <d:sz val="11"/>
        <d:rFont val="Calibri"/>
      </d:rPr>
      <d:t xml:space="preserve">https://members.wto.org/crnattachments/2024/SPS/UGA/24_08230_00_e.pdf</d:t>
    </d:r>
  </si>
  <si>
    <t>DUS DARS 886:2024, Fresh Pineapples — Specification, First Edition</t>
  </si>
  <si>
    <t>This Draft Uganda Standard applies to pineapples of varieties (cultivars) grown from Ananas comosus (L.) Merr. to be supplied fresh to the consumer, pineapples for ornamental use or industrial processing being excluded.Note: This Draft Uganda Standard was also notified to the TBT Committee.</t>
  </si>
  <si>
    <t>Fresh or dried pineapples (HS code(s): 080430); Fruits and derived products (ICS code(s): 67.080.10)</t>
  </si>
  <si>
    <t>080430 - Fresh or dried pineapples</t>
  </si>
  <si>
    <d:r xmlns:d="http://schemas.openxmlformats.org/spreadsheetml/2006/main">
      <d:rPr>
        <d:sz val="11"/>
        <d:rFont val="Calibri"/>
      </d:rPr>
      <d:t xml:space="preserve">https://members.wto.org/crnattachments/2024/SPS/UGA/24_08231_00_e.pdf</d:t>
    </d:r>
  </si>
  <si>
    <t>Lifejacket Approval Harmonization</t>
  </si>
  <si>
    <t xml:space="preserve">The Coast Guard amends the approval requirements and follow-up program requirements for lifejackets by incorporating new standards to replace existing legacy standards. The Coast Guard further amends lifejacket and personal flotation device (PFD) carriage requirements to allow for the use of equipment approved to the new standards and removes obsolete equipment approval requirements. The amendments streamline the process for the approval of PFDs and allow manufacturers the opportunity to produce innovative equipment that complies with standards in both Canada and the United States. Manufacturing firms also stand to benefit through a reduced production-inspections burden.Effective dates: This final rule is effective 6 January 2025. The incorporation by reference of certain publications listed in the rule is approved by the Director of the Federal Register as of 6 January 2025. Compliance date: The Coast Guard will begin enforcing this rule on 4 June 2025.89 Federal Register (FR) 97356, 6 December 2024; Title 33 Code of Federal Regulations (CFR) Part 181 and Title 46 Code of Federal Regulations (CFR) Parts 2528108117133141160169180 and 199_x000D_
https://www.govinfo.gov/content/pkg/FR-2024-12-06/html/2024-28264.htm_x000D_
https://www.govinfo.gov/content/pkg/FR-2024-12-06/pdf/2024-28264.pdfThis final rule and previous actions notified under the symbol G/TBT/N/USA/1981 are identified by Docket Number USCG-2022-0120. The Docket Folder is available on Regulations.gov at https://www.regulations.gov/docket/USCG-2022-0120/document and provides access to primary and supporting documents as well as comments received. Documents are also accessible from Regulations.gov by searching the Docket Number.</t>
  </si>
  <si>
    <t>Lifejackets and personal flotation devices; Quality (ICS code(s): 03.120); Lifejackets, buoyancy aids and flotation devices (ICS code(s): 13.340.70); Test conditions and procedures in general (ICS code(s): 19.020)</t>
  </si>
  <si>
    <t>03.120 - Quality; 03.120 - Quality; 13.340.70 - Lifejackets, buoyancy aids and flotation devices; 13.340.70 - Lifejackets, buoyancy aids and flotation devices; 19.020 - Test conditions and procedures in general; 19.020 - Test conditions and procedures in general</t>
  </si>
  <si>
    <t>Protection of human health or safety (TBT); Quality requirements (TBT); Harmonization (TBT); Cost saving and productivity enhancement (TBT)</t>
  </si>
  <si>
    <d:r xmlns:d="http://schemas.openxmlformats.org/spreadsheetml/2006/main">
      <d:rPr>
        <d:sz val="11"/>
        <d:rFont val="Calibri"/>
      </d:rPr>
      <d:t xml:space="preserve">https://members.wto.org/crnattachments/2024/TBT/USA/final_measure/24_08218_00_e.pdf</d:t>
    </d:r>
  </si>
  <si>
    <t>Proyecto de resolución para dejar sin efecto las medidas fitosanitarias establecidas para mitigar el riesgo de introducción de insectos de las familias Diaspididae y Coccidae (Hemiptera: Coccoidea: Diaspididae y Coccidae) en productos frescos para consumo, productos frescos para industria, flores frescas cortadas para ornamento y follajes frescos cortados para ornamento (Draft Resolution lifting the phytosanitary measures introduced to mitigate the risk of introduction of insects of the Diaspididae and Coccidae families (Hemiptera: Coccoidea: Diaspididae and Coccidae) in fresh produce for consumption, fresh produce for industry, fresh cut flowers for ornamental purposes and fresh cut foliage for ornamental purposes)</t>
  </si>
  <si>
    <t>The draft text repeals, for as long as is necessary, until the relevant pest risk analyses are conducted and new phytosanitary measures are established, Resolution No. 225-2022-NR-ARP-SFE of the State Phytosanitary Service, Standards and Regulations Department, Pest Risk Analysis Unit, amending the phytosanitary measures introduced to mitigate the risk of introduction of insects of the Diaspididae and Coccidae families (Hemiptera: Coccoidea: Diaspididae and Coccidae) in fresh produce for consumption, fresh produce for industry, fresh cut flowers for ornamental purposes and fresh cut foliage for ornamental purposes, signed in San José, at 10.20 a.m. on 7 September 2022. The aforementioned Resolution was notified to the WTO in document G/SPS/N/CRI/249.</t>
  </si>
  <si>
    <t>Fresh produce for consumption, fresh produce for industry, fresh cut flowers for ornamental purposes and fresh cut foliage for ornamental purposes.</t>
  </si>
  <si>
    <t>08 - EDIBLE FRUIT AND NUTS; PEEL OF CITRUS FRUIT OR MELONS; 07 - EDIBLE VEGETABLES AND CERTAIN ROOTS AND TUBERS; 06031 - - Fresh:</t>
  </si>
  <si>
    <d:r xmlns:d="http://schemas.openxmlformats.org/spreadsheetml/2006/main">
      <d:rPr>
        <d:sz val="11"/>
        <d:rFont val="Calibri"/>
      </d:rPr>
      <d:t xml:space="preserve">https://members.wto.org/crnattachments/2024/SPS/CRI/24_08221_00_s.pdf</d:t>
    </d:r>
  </si>
  <si>
    <t>Draft Resolution 1296, 29 November 2024</t>
  </si>
  <si>
    <t>This draft resolution proposes the inclusion of active ingredient  B70 - BACULOVIRUS ERINNYIS ELLO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</si>
  <si>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https://members.wto.org/crnattachments/2024/SPS/BRA/24_08211_00_x.pdf
https://anvisalegis.datalegis.net/action/UrlPublicasAction.php?acao=abrirAtoPublico&amp;num_ato=00001296&amp;sgl_tipo=CPB&amp;sgl_orgao=ANVISA/MS&amp;vlr_ano=2024&amp;seq_ato=222&amp;cod_modulo=134&amp;cod_menu=1696</d:t>
    </d:r>
  </si>
  <si>
    <t xml:space="preserve">NGSO Fixed-Satellite Service (Space-to-Earth) Operations in the 
17.3-17.8 GHz Band&gt;_x000D_
</t>
  </si>
  <si>
    <t xml:space="preserve">In this document, the Federal Communications Commission (FCC or Commission) adopts rules to permit use of the 17.3-17.7 GHz band by non-geostationary satellite orbit (NGSO) space stations operating in the fixed-satellite service (FSS) in the space-to-Earth (downlink) direction. The Report and Order modifies the United States Table of Frequency Allocations (U.S. Table) to enable NGSO FSS to operate in the 17.3-17.8 GHz band in the downlink direction on a co-primary basis with incumbent services and on a shared, co- primary basis with geostationary satellite orbit (GSO) services. The Report and Order also enables NGSO FSS downlink use of the 17.7-17.8 GHz band on a co-primary basis with GSO services and on an unprotected basis with respect to terrestrial fixed services. The Commission additionally adopts technical requirements to establish safeguards to reduce the likelihood of harmful interference to incumbent operators. The actions taken in the Commission's Report and Order promote spectrum efficiency, foster competition and U.S. leadership, and expand the ability of satellite operators to deploy advanced services, including high-speed internet access to unserved and underserved areas.Effective on 6 January 2025. The incorporation by reference of certain material listed in this rule was approved by the Director of the Federal Register as of 31 May 2018.89 Federal Register (FR) 96590, 5 December 2024; Title 47 Code of Federal Regulations (CFR) Parts 2 and 25_x000D_
https://www.govinfo.gov/content/pkg/FR-2024-12-05/html/2024-28390.htm_x000D_
https://www.govinfo.gov/content/pkg/FR-2024-12-05/pdf/2024-28390.pdf_x000D_
https://docs.fcc.gov/public/attachments/FCC-24-97A1.pdfThis final rule is identified by IB Docket No. 22-273FCC 24-97 and provides access to associated documents. The full text of the proposed rule is available from the Commission's website at https://docs.fcc.gov/public/attachments/FCC-24-97A1.pdf. Documents are also accessible from the FCC's Electronic Document Management System (EDOCS) by searching the Docket Number. Comments ("filings") posted by the FCC in the Electronic Comment Filing System (ECFS) are accessible at https://www.fcc.gov/ecfs/search/search-filings/results?q=(proceedings.name:(%2222-273%22))G/TBT/N/USA/1698 and subsequent addenda and corrigenda - Commission Rules To Enable GSO Fixed-Satellite Service (Space-to-Earth) Operations in the 17.3-17.8GHz Band, To Modernize Certain Rules Applicable to 17/24 GHz BSS Space Stations, and  To  Establish Off-Axis Uplink Power Limits for Extended Ka-Band FSS Operations</t>
  </si>
  <si>
    <t>Non-geostationary orbit (NGSO) fixed-satellite service; Aircraft and space vehicles in general (ICS code(s): 49.020); Space systems and operations (ICS code(s): 49.140)</t>
  </si>
  <si>
    <t>49.020 - Aircraft and space vehicles in general; 49.020 - Aircraft and space vehicles in general; 49.140 - Space systems and operations; 49.140 - Space systems and operations</t>
  </si>
  <si>
    <t>Harmonization (TBT); Cost saving and productivity enhancement (TBT)</t>
  </si>
  <si>
    <d:r xmlns:d="http://schemas.openxmlformats.org/spreadsheetml/2006/main">
      <d:rPr>
        <d:sz val="11"/>
        <d:rFont val="Calibri"/>
      </d:rPr>
      <d:t xml:space="preserve">https://members.wto.org/crnattachments/2024/TBT/USA/final_measure/24_08217_00_e.pdf
https://members.wto.org/crnattachments/2024/TBT/USA/final_measure/24_08217_01_e.pdf</d:t>
    </d:r>
  </si>
  <si>
    <t>DUS DARS 981:2024, Fresh leeks — Specification, First edition</t>
  </si>
  <si>
    <t>This Draft Uganda Standard applies to leeks of varieties (cultivars) grown from Allium porrum L. to be supplied fresh to the consumer, leeks for industrial processing being excluded.Note: This Draft Uganda Standard was also notified to the TBT Committee.</t>
  </si>
  <si>
    <t>Leeks and other alliaceous vegetables, fresh or chilled (excl. onions, shallots and garlic) (HS code(s): 070390); Vegetables and derived products (ICS code(s): 67.080.20); Fresh leeks</t>
  </si>
  <si>
    <t>070390 - Leeks and other alliaceous vegetables, fresh or chilled (excl. onions, shallots and garlic)</t>
  </si>
  <si>
    <d:r xmlns:d="http://schemas.openxmlformats.org/spreadsheetml/2006/main">
      <d:rPr>
        <d:sz val="11"/>
        <d:rFont val="Calibri"/>
      </d:rPr>
      <d:t xml:space="preserve">https://members.wto.org/crnattachments/2024/SPS/UGA/24_08225_00_e.pdf</d:t>
    </d:r>
  </si>
  <si>
    <t>DUS DARS 984:2024, Fresh ribbed celery — Specification, First edition</t>
  </si>
  <si>
    <t>This Draft Uganda Standard applies to ribbed celery of varieties (cultivars) grown from Apium graveolens L. var. dulce Mill. to be supplied fresh to the consumer, ribbed celery for industrial processing being excluded.Note: This Draft Uganda Standard was also notified to the TBT Committee.</t>
  </si>
  <si>
    <t>Fresh or chilled celery (excl. celeriac) (HS code(s): 070940); Vegetables and derived products (ICS code(s): 67.080.20); Fresh ribbed celery</t>
  </si>
  <si>
    <t>070940 - Fresh or chilled celery (excl. celeriac)</t>
  </si>
  <si>
    <d:r xmlns:d="http://schemas.openxmlformats.org/spreadsheetml/2006/main">
      <d:rPr>
        <d:sz val="11"/>
        <d:rFont val="Calibri"/>
      </d:rPr>
      <d:t xml:space="preserve">https://members.wto.org/crnattachments/2024/SPS/UGA/24_08224_00_e.pdf</d:t>
    </d:r>
  </si>
  <si>
    <t>Established Maximum Residue Limit: Rimsulfuron</t>
  </si>
  <si>
    <t>The proposed maximum residue limit (PMRL) document for rimsulfuron notified in G/SPS/N/CAN/1568 (dated 11 September 2024) was adopted 4 December 2024. The proposed MRL was established via entry into the Maximum Residue Limits Database and is provided directly below: MRL (ppm)1 Raw Agricultural Commodity (RAC) and/or Processed Commodity0.01  Pome fruits (crop group 11-09)1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</si>
  <si>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rimsulfuron in or on pome fruits (ICS codes: 65.020, 65.100, 67.040, 67.080)</t>
  </si>
  <si>
    <t>65.020 - Farming and forestry; 65.020 - Farming and forestry; 65.100 - Pesticides and other agrochemicals; 65.100 - Pesticides and other agrochemicals; 67.040 - Food products in general; 67.040 - Food products in general; 67.080 - Fruits. Vegetables; 67.080 - Fruits. Vegetables</t>
  </si>
  <si>
    <t>Maximum residue limits (MRLs); Food safety; Human health; Adoption/publication/entry into force of reg.; Maximum residue limits (MRLs); Food safety; Human health</t>
  </si>
  <si>
    <t>DUS DARS 943:2024, Fresh collard greens or broccoli greens — Specification, First edition</t>
  </si>
  <si>
    <t>This Draft Uganda Standard applies to collard greens or broccoli greens, or mixtures of the two which may consist of leaves, or parts of leaves, plants or mixtures of leaves and plants, grown from Brassica oleracea subsp. (var.) botrytis; subgroup cymosa italica) (broccoli) and Brassica oleracea subsp. (var.) acephala; subgroup laciniata, intended for human consumption.Note: This Draft Uganda Standard was also notified to the TBT Committee.</t>
  </si>
  <si>
    <t>Fresh or chilled cauliflowers and broccoli (HS code(s): 070410); Vegetables and derived products (ICS code(s): 67.080.20); Fresh collard greens</t>
  </si>
  <si>
    <t>070410 - Fresh or chilled cauliflowers and broccoli</t>
  </si>
  <si>
    <d:r xmlns:d="http://schemas.openxmlformats.org/spreadsheetml/2006/main">
      <d:rPr>
        <d:sz val="11"/>
        <d:rFont val="Calibri"/>
      </d:rPr>
      <d:t xml:space="preserve">https://members.wto.org/crnattachments/2024/SPS/UGA/24_08222_00_e.pdf</d:t>
    </d:r>
  </si>
  <si>
    <t>Established Maximum Residue Limit: Clomazone</t>
  </si>
  <si>
    <t>The proposed maximum residue limit (PMRL) document for clomazone notified in G/SPS/N/CAN/1567 (dated 11 September 2024) was adopted 4 December 2024. The proposed MRL was established via entry into the Maximum Residue Limits Database and is provided directly below: MRL (ppm)1 Raw Agricultural Commodity (RAC) and/or Processed Commodity0.05             Pulses, dried shelled beans, except soybeans (crop subgroup 6-21E)1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</si>
  <si>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clomazone in or on dry beans (ICS codes: 65.020, 65.100, 67.040, 67.060) </t>
  </si>
  <si>
    <t>65.020 - Farming and forestry; 65.020 - Farming and forestry; 65.100 - Pesticides and other agrochemicals; 65.100 - Pesticides and other agrochemicals; 67.040 - Food products in general; 67.040 - Food products in general; 67.060 - Cereals, pulses and derived products; 67.060 - Cereals, pulses and derived products</t>
  </si>
  <si>
    <t>Draft Resolution 1295, 29 November 2024</t>
  </si>
  <si>
    <t>This draft resolution proposes the inclusion of active ingredient  C92 - CHROMOBACTERIUM SUBTSUGAE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</si>
  <si>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https://members.wto.org/crnattachments/2024/SPS/BRA/24_08210_00_x.pdf
Draft: https://anvisalegis.datalegis.net/action/UrlPublicasAction.php?acao=abrirAtoPublico&amp;num_ato=00001295&amp;sgl_tipo=CPB&amp;sgl_orgao=GGTOX/ANVISA/MS&amp;vlr_ano=2024&amp;seq_ato=000&amp;cod_modulo=134&amp;cod_menu=1696</d:t>
    </d:r>
  </si>
  <si>
    <t>DUS DARS 971:2024, Fresh asparagus — Specification, First edition</t>
  </si>
  <si>
    <t xml:space="preserve">This Uganda Standard applies to shoots of commercial varieties of asparagus grown from Asparagus officinalis L. to be supplied fresh to the consumer Asparagus for industrial processing is excluded._x000D_
Asparagus shoots is classified into four groups according to colour:_x000D_
(a) white asparagus;_x000D_
(b) violet asparagus, having tips of a colour between pink and violet or purple and part of the shoot_x000D_
white;_x000D_
(c) violet/green asparagus, part of which is of violet and green colouring;_x000D_
(d) green asparagus having tips and most of the shoot green.Note: This Draft Uganda Standard was also notified to the TBT Committee.</t>
  </si>
  <si>
    <t>Fresh or chilled asparagus (HS code(s): 070920); Vegetables and derived products (ICS code(s): 67.080.20)</t>
  </si>
  <si>
    <d:r xmlns:d="http://schemas.openxmlformats.org/spreadsheetml/2006/main">
      <d:rPr>
        <d:sz val="11"/>
        <d:rFont val="Calibri"/>
      </d:rPr>
      <d:t xml:space="preserve">https://members.wto.org/crnattachments/2024/SPS/UGA/24_08229_00_e.pdf</d:t>
    </d:r>
  </si>
  <si>
    <t>DUS DARS 978:2024, Fresh fennel — Specification, First edition</t>
  </si>
  <si>
    <t>This Draft Uganda Standard applies to sweet fennel (anise) of varieties (cultivars) grown from Foeniculum vulgare Mill. to be supplied fresh to the consumer, fennel for processing being excluded.Note: This Draft Uganda Standard was also notified to the TBT Committee.</t>
  </si>
  <si>
    <t>Fresh or chilled vegetables n.e.s. (HS code(s): 070999); Vegetables and derived products (ICS code(s): 67.080.20); Fresh fennel</t>
  </si>
  <si>
    <d:r xmlns:d="http://schemas.openxmlformats.org/spreadsheetml/2006/main">
      <d:rPr>
        <d:sz val="11"/>
        <d:rFont val="Calibri"/>
      </d:rPr>
      <d:t xml:space="preserve">https://members.wto.org/crnattachments/2024/SPS/UGA/24_08227_00_e.pdf</d:t>
    </d:r>
  </si>
  <si>
    <t>Amendments to the Legal Inspection for Automobile Tyres</t>
  </si>
  <si>
    <t>The purpose of this notification is to provide the final texts of “Amendments to the Legal Inspection for Automobile Tyres” and relevant dates of its implementation. The draft texts notified in "G/TBT/N/TPKM/548" were adopted without changes.</t>
  </si>
  <si>
    <t>New pneumatic tyres, of rubber, of a kind used for motor cars, incl. station wagons (HS code(s): 401110); New pneumatic tyres, of rubber, of a kind used for buses and lorries (excl. tyres with lug, corner or similar treads) (HS code(s): 401120); Tyres in general (ICS code(s): 83.160.01); Road vehicle tyres (ICS code(s): 83.160.10)</t>
  </si>
  <si>
    <t>401110 - New pneumatic tyres, of rubber, of a kind used for motor cars, incl. station wagons and racing cars; 401120 - New pneumatic tyres, of rubber, of a kind used for buses and lorries (excl. tyres with lug, corner or similar treads); 401120 - New pneumatic tyres, of rubber, of a kind used for buses and lorries (excl. tyres with lug, corner or similar treads); 401110 - New pneumatic tyres, of rubber, of a kind used for motor cars, incl. station wagons and racing cars</t>
  </si>
  <si>
    <t>83.160.01 - Tyres in general; 83.160.10 - Road vehicle tyres; 83.160.01 - Tyres in general; 83.160.10 - Road vehicle tyres</t>
  </si>
  <si>
    <d:r xmlns:d="http://schemas.openxmlformats.org/spreadsheetml/2006/main">
      <d:rPr>
        <d:sz val="11"/>
        <d:rFont val="Calibri"/>
      </d:rPr>
      <d:t xml:space="preserve">https://members.wto.org/crnattachments/2024/TBT/TPKM/final_measure/24_08216_00_e.pdf
https://members.wto.org/crnattachments/2024/TBT/TPKM/final_measure/24_08216_00_x.pdf</d:t>
    </d:r>
  </si>
  <si>
    <t>DUS DARS 979:2024, Fresh garlic — Specification, First edition</t>
  </si>
  <si>
    <t>This Draft Uganda  Standard applies to garlic of varieties (cultivars) grown from Allium sativum var. sativum L. to be supplied fresh, semi-dry or dry to the consumer, green garlic with full leaves and undeveloped cloves and garlic for industrial processing being excluded. The garlic bulbs may consist of several or only one clove ("solo garlic").Note: This Draft Uganda Standard was also notified to the TBT Committee.</t>
  </si>
  <si>
    <t>Garlic, fresh or chilled (HS code(s): 070320); Vegetables and derived products (ICS code(s): 67.080.20)</t>
  </si>
  <si>
    <t>070320 - Garlic, fresh or chilled</t>
  </si>
  <si>
    <d:r xmlns:d="http://schemas.openxmlformats.org/spreadsheetml/2006/main">
      <d:rPr>
        <d:sz val="11"/>
        <d:rFont val="Calibri"/>
      </d:rPr>
      <d:t xml:space="preserve">https://members.wto.org/crnattachments/2024/SPS/UGA/24_08226_00_e.pdf</d:t>
    </d:r>
  </si>
  <si>
    <t>DUS DARS 985:2024, Fresh Rhubarb — Specification, First Edition</t>
  </si>
  <si>
    <t>This Uganda standard applies to leaf stalks of rhubarb of varieties (cultivars) grown from Rheum rhaponticum L. to be supplied fresh to the consumer, rhubarb for industrial processing being excluded.Note: This Draft Uganda Standard was also notified to the TBT Committee.</t>
  </si>
  <si>
    <t>Leeks and other alliaceous vegetables, fresh or chilled (excl. onions, shallots and garlic) (HS code(s): 070390); Vegetables and derived products (ICS code(s): 67.080.20); Fresh rhubarb</t>
  </si>
  <si>
    <d:r xmlns:d="http://schemas.openxmlformats.org/spreadsheetml/2006/main">
      <d:rPr>
        <d:sz val="11"/>
        <d:rFont val="Calibri"/>
      </d:rPr>
      <d:t xml:space="preserve">https://members.wto.org/crnattachments/2024/SPS/UGA/24_08223_00_e.pdf</d:t>
    </d:r>
  </si>
  <si>
    <t>DUS DARS 973:2024, Fresh Aubergines — Specification, First edition</t>
  </si>
  <si>
    <t>This Draft Uganda Standard applies to aubergines of varieties (cultivars) grown from Solanum melongena L. var. esculentuminsanum and ovigerum, to be supplied fresh to the consumer, aubergines for industrial processing being excluded. According to their shape a distinction is made between: a) elongated aubergines (including club shaped, cylindrical, ellipsoid and pear shaped); and b) globus aubergines/ round aubergines (including oval shaped).</t>
  </si>
  <si>
    <t>Fresh or chilled aubergines "eggplants" (HS code(s): 070930); Vegetables and derived products (ICS code(s): 67.080.20)</t>
  </si>
  <si>
    <t>070930 - Fresh or chilled aubergines "eggplants"</t>
  </si>
  <si>
    <d:r xmlns:d="http://schemas.openxmlformats.org/spreadsheetml/2006/main">
      <d:rPr>
        <d:sz val="11"/>
        <d:rFont val="Calibri"/>
      </d:rPr>
      <d:t xml:space="preserve">https://members.wto.org/crnattachments/2024/SPS/UGA/24_08228_00_e.pdf</d:t>
    </d:r>
  </si>
  <si>
    <t>Resolución 00017938 (25 de noviembre de 2024) "Por la cual se actualizan los requisitos sanitarios para la certificación de los establecimientos de origen de bovinos y/o bufalinos, destinados a la producción de carne para exportación a Estados Unidos y Canadá, provenientes de la zona libre con vacunación (Zona Libre III Comercio/Caribe) y se establecen otras disposiciones" (Resolution No. 00017938 (25 November 2024) updating the sanitary requirements for obtaining certification as an establishment that supplies bovine and/or bubaline animals for the production of meat to be exported to the United States and Canada from the free zone in which vaccination is practised (free zone III (trade/Caribbean)) and establishing other requirements) The Republic of Colombia hereby advises that it has issued Resolution No. 00017938, of 25 November 2024, updating the sanitary requirements for obtaining certification as an establishment that supplies bovine and/or bubaline animals for the production of meat to be exported to the United States and Canada from the free zone in which vaccination is practised (free zone III (trade/Caribbean)) and establishing other requirements, which was published in Official Journal No. 52.951 of 25 November 2024 and entered into force on the same day. It also repeals ICA Resolution No. 3207 of 2014. https://www.ica.gov.co/getattachment/0eda1719-04d5-4780-a2fe-2a2a400693c6/2024R00017938.aspx https://members.wto.org/crnattachments/2024/SPS/COL/24_08196_00_s.pdf</t>
  </si>
  <si>
    <t>Bovine and bubaline animals for meat production</t>
  </si>
  <si>
    <t>0102 - Live bovine animals; 0102 - Live bovine animals</t>
  </si>
  <si>
    <t>Human health; Animal health; Food safety; Animal diseases; Adoption/publication/entry into force of reg.; Animal diseases; Food safety; Animal health; Human health</t>
  </si>
  <si>
    <d:r xmlns:d="http://schemas.openxmlformats.org/spreadsheetml/2006/main">
      <d:rPr>
        <d:sz val="11"/>
        <d:rFont val="Calibri"/>
      </d:rPr>
      <d:t xml:space="preserve">https://members.wto.org/crnattachments/2024/SPS/COL/24_08196_00_s.pdf
https://www.ica.gov.co/getattachment/0eda1719-04d5-4780-a2fe-2a2a400693c6/2024R00017938.aspx</d:t>
    </d:r>
  </si>
  <si>
    <t>Notification of the National Broadcasting and Telecommunications Commission on Technical Standard for Telecommunication Equipment: Radiocommunications Equipment Used Frequency 5.925-6.425 GHz (NBTC TS 1039-2567(2024))</t>
  </si>
  <si>
    <t>The National Broadcasting and Telecommunications Commission has revised the technical standard for telecommunication equipment: radiocommunications equipment used frequency 5.925-6.425 GHz. This technical standard specifies the minimum technical characteristics required for radiocommunications equipment operating within the bands.</t>
  </si>
  <si>
    <t>Telecommunication equipment.</t>
  </si>
  <si>
    <t>33.060 - Radiocommunications; 33.060 - Radiocommunications</t>
  </si>
  <si>
    <d:r xmlns:d="http://schemas.openxmlformats.org/spreadsheetml/2006/main">
      <d:rPr>
        <d:sz val="11"/>
        <d:rFont val="Calibri"/>
      </d:rPr>
      <d:t xml:space="preserve">https://members.wto.org/crnattachments/2024/TBT/THA/final_measure/24_08195_00_x.pdf</d:t>
    </d:r>
  </si>
  <si>
    <t>Import suspension of poultry meat or egg products from part of Bulgaria; Import suspension of live poultry, poultry meat or egg products from part of Canada; Import suspension of live poultry, poultry meat or egg products from part of Hungary; Import suspension of live poultry or liquid poultry egg from part of the Netherlands;  Import suspension of poultry meat or egg products from part of Poland;  Import suspension of poultry meat or egg products from Türkiye; Import suspension of live poultry, poultry meat or egg products from part of the United Kingdom;  Import suspension of live poultry, poultry meat or egg products from part of the United States of America</t>
  </si>
  <si>
    <t>In order to prevent the introduction of High Pathogenicity Avian Influenza (HPAI) virus into Japan, MAFF has taken import suspension measures based on Articles 37 and 44 of the "Act on Domestic Animal Infectious Disease Control" and other relevant requirements.</t>
  </si>
  <si>
    <t>Live poultry, poultry meat or egg products</t>
  </si>
  <si>
    <t>0407 - Birds' eggs, in shell, fresh, preserved or cooked; 0207 - Meat and edible offal of fowls of the species Gallus domesticus, ducks, geese, turkeys and guinea fowls, fresh, chilled or frozen; 0105 - Live poultry, "fowls of the species Gallus domesticus, ducks, geese, turkeys and guinea fowls"</t>
  </si>
  <si>
    <t>Avian Influenza; Animal diseases; Animal health; Pest- or Disease- free Regions / Regionalization</t>
  </si>
  <si>
    <t>Bulgaria; Canada; Hungary; Netherlands; Poland; Türkiye; United Kingdom; United States of America</t>
  </si>
  <si>
    <d:r xmlns:d="http://schemas.openxmlformats.org/spreadsheetml/2006/main">
      <d:rPr>
        <d:sz val="11"/>
        <d:rFont val="Calibri"/>
      </d:rPr>
      <d:t xml:space="preserve">https://members.wto.org/crnattachments/2024/SPS/JPN/24_08203_00_e.pdf</d:t>
    </d:r>
  </si>
  <si>
    <t>Resolución Exenta No 7.525 de 2024, que Establece nómina de aditivos autorizados para la producción de alimentos completos, suplementos, ingredientes y aditivos formulados para animales y deroga la Resolución Exenta No 1.992 de 2006 (Exempt Resolution No. 7.525 of 2024, establishing the list of additives authorized for the production of complete feed, supplements, ingredients and formulated additives for animals, and repealing Exempt Resolution No. 1.992 of 2006) Chile hereby advises that Exempt Resolution No. 7.525 of 2024, establishing the list of additives authorized for the production of complete feed, supplements, ingredients and formulated additives for animals, and repealing Exempt Resolution No. 1.992 of 2006, was published in the Official Journal on 21 November 2024 and will enter into force 30 days after that date. https://members.wto.org/crnattachments/2024/SPS/CHL/24_08188_00_s.pdf</t>
  </si>
  <si>
    <t>Foodstuffs for animals</t>
  </si>
  <si>
    <t>2309 - Preparations of a kind used in animal feeding; 2309 - Preparations of a kind used in animal feeding</t>
  </si>
  <si>
    <t>Human health; Animal health; Food safety; Adoption/publication/entry into force of reg.; Food safety; Animal health; Human health</t>
  </si>
  <si>
    <d:r xmlns:d="http://schemas.openxmlformats.org/spreadsheetml/2006/main">
      <d:rPr>
        <d:sz val="11"/>
        <d:rFont val="Calibri"/>
      </d:rPr>
      <d:t xml:space="preserve">https://members.wto.org/crnattachments/2024/SPS/CHL/24_08188_00_s.pdf</d:t>
    </d:r>
  </si>
  <si>
    <t>New GB MRLs for sulfoxaflor amending the GB MRL Statutory Register</t>
  </si>
  <si>
    <t>An application was received by the Health and Safety Executive to set new MRLs for sulfoxaflor in/on leaf vegetables, herbs and edible flowers (0250000), excluding witloof (0255000). Following assessment new MRLs have been introduced. The Evaluation Report supporting the new MRLs is available at the following link. A complete list of the new MRLs is available within this document, see pages 6-7: https://www.hse.gov.uk/pesticides/assets/docs/mrln-aatx-0784.pdfThe residue levels arising in food and feed from the notified uses result in consumer exposures below the toxicological reference values and therefore harmful effects on human health are not expected. As the residue levels exceed the current MRLs in force, new MRLs are being adopted.  </t>
  </si>
  <si>
    <t>Products (and associated GB commodity codes): 0251010 Lamb’s lettuces/corn salads; 0251020 Lettuces; 0251030 Escaroles/broad-leaved endives; 0251040 Cresses and other sprouts and shoots; 0251050 Land cresses; 0251060 Roman rocket/rucola; 0251070 Red mustards; 0251080 Baby leaf crops (including brassica species); 0251990 Others – Lettuce and other salad plants including brassica; 0252020 Purslanes; 0252030 Chards/beet leaves; 0252990 Others – spinach and similar (leaves); 0253000 Grape leaves and similar species; 0254000 Watercresses; 0256010 Chervil; 0256020 Chives; 0256030 Celery leaves; 0256040 Parsley; 0256050 Sage; 0256060 Rosemary; 0256070 Thyme; 0256080 Basil and edible flowers; 0256090 Laurel/bay leaves; 0256100 Tarragon; 0256990 Others - Herbs* For reference, the full list of GB commodity codes is set out in Part 1 of the GB pesticides Maximum Residue Level Statutory Register – see link</t>
  </si>
  <si>
    <d:r xmlns:d="http://schemas.openxmlformats.org/spreadsheetml/2006/main">
      <d:rPr>
        <d:sz val="11"/>
        <d:rFont val="Calibri"/>
      </d:rPr>
      <d:t xml:space="preserve">https://members.wto.org/crnattachments/2024/SPS/GBR/24_08184_00_e.pdf</d:t>
    </d:r>
  </si>
  <si>
    <t>R384-415 Requirements to Sell Electronic Cigarette Products</t>
  </si>
  <si>
    <t xml:space="preserve">Proposed rule - The reason for this change is to align the rule with recent changes introduced in SB61 during the 2024 General Session. Specifically, this change aligns the nicotine content limit for electronic cigarettes and PMTA related requirements with Sections 59-14-810 and 76-10-101. This change also aligns prohibited sales with those outlined in Section 76-10-113.  This filing defines “electronic cigarette product registry” and changes the nicotine content limit from 360mg/mL for nonmanufacturer sealed electronic cigarette substances and 5% for manufacturer sealed electronic cigarette products to 4% nicotine by weight per container or a nicotine concentration of 40mg/mL. Additionally, this filing changes the terminology for prohibited sales to align with Utah Code by reiterating that a retailer is prohibited from selling a product that is not included in the electronic cigarette product registry. This filing also amends Section R384-415-8 to indicate that both manufacturer sealed electronic cigarette products and nonmanufacturer sealed electronic cigarette substances are subject to the same nicotine limit requirements. This filing revises product quality requirements to align with changes made by SB61 (2024) by redefining exemptions from violations._x000D_
_x000D_
</t>
  </si>
  <si>
    <t>Electronic cigarette substance; Tobacco, tobacco products and related equipment (ICS code(s): 65.160)</t>
  </si>
  <si>
    <t>65.160 - Tobacco, tobacco products and related equipment</t>
  </si>
  <si>
    <d:r xmlns:d="http://schemas.openxmlformats.org/spreadsheetml/2006/main">
      <d:rPr>
        <d:sz val="11"/>
        <d:rFont val="Calibri"/>
      </d:rPr>
      <d:t xml:space="preserve">https://members.wto.org/crnattachments/2024/TBT/USA/24_08179_00_e.pdf</d:t>
    </d:r>
  </si>
  <si>
    <t>Revision of the Order for Enforcement of the Act on the Regulation of Manufacture and Evaluation of Chemical Substances</t>
  </si>
  <si>
    <t>Based on Article 2, paragraph 3, of the Act on the Regulation of Manufacture and Evaluation of Chemical Substances (hereinafter referred to as “the Act”), Poly (oxyethylene)=alkyl phenyl ether (where the alkyl consists of 9 carbon atoms, hereinafter referred to as “NPE”) was designated as a class II specified chemical substance.Based on Article 35, paragraph 1 and 6 of the Act, a person who manufactures or imports NPE shall notify the planned quantity of NPE to be manufactured or imported.Based on Article 36, paragraph 1 of the Act, measures under the technical guidelines shall be taken upon handling NPE and NPE-added water-based cleaning agents.Based on Article 37, paragraph 1 of the Act, labels with respect to the measures shall be indicated on containers, packaging, etc. on NPE and NPE-added water-based cleaning agents.https://www.meti.go.jp/policy/chemical_management/kasinhou/files/hourei/2024kaiseireibunn_npe.pdf　(Japanese only)</t>
  </si>
  <si>
    <t>Poly (oxyethylene)=alkyl phenyl ether (where the alkyl consists of 9 carbon atoms, hereinafter referred to as “NPE”.) and NPE-added water-based cleaning agents</t>
  </si>
  <si>
    <t>71.100.40 - Surface active agents; 71.100.40 - Surface active agents</t>
  </si>
  <si>
    <d:r xmlns:d="http://schemas.openxmlformats.org/spreadsheetml/2006/main">
      <d:rPr>
        <d:sz val="11"/>
        <d:rFont val="Calibri"/>
      </d:rPr>
      <d:t xml:space="preserve">The Cabinet Order for the Partial Revision of the Order for Enforcement of the Act on the Regulation of Manufacture and Evaluation of Chemical Substances
https://www.meti.go.jp/policy/chemical_management/kasinhou/files/hourei/2024kaiseireibunn_npe.pdf　(Japanese only)
</d:t>
    </d:r>
  </si>
  <si>
    <t>A new GB MRL for fenazaquin amending the GB MRL Statutory Register</t>
  </si>
  <si>
    <t>An application was received by the Health and Safety Executive to set new MRLs for fenazaquin in/on hops. Following assessment, a new MRL has been introduced to set Import Tolerances. The Evaluation Report/ Reasoned Opinion supporting the new MRLs is available at the following link. A complete list of the new MRLs is available within this document, see page 5: https://www.hse.gov.uk/pesticides/assets/docs/mrln-aatw-0783.pdfThe residue levels arising in food from the notified uses result in consumer exposures below the toxicological reference values and therefore harmful effects on human health are not expected. As the residue levels exceed the current MRLs in force, a new MRL is being adopted.  </t>
  </si>
  <si>
    <t>Products (and associated GB commodity codes): Hops (0700000) * For reference, the full list of GB commodity codes is set out in Part 1 of the GB pesticides Maximum Residue Level Statutory Register – see link</t>
  </si>
  <si>
    <d:r xmlns:d="http://schemas.openxmlformats.org/spreadsheetml/2006/main">
      <d:rPr>
        <d:sz val="11"/>
        <d:rFont val="Calibri"/>
      </d:rPr>
      <d:t xml:space="preserve">https://members.wto.org/crnattachments/2024/SPS/GBR/24_08185_00_e.pdf</d:t>
    </d:r>
  </si>
  <si>
    <t>Draft Commission Regulation amending Annexes II and V to Regulation (EC) No 396/2005 of the European Parliament and of the Council as regards maximum residue levels for dimoxystrobin, ethephon and propamocarb in or on certain products (Text with EEA relevance) </t>
  </si>
  <si>
    <t>The proposed draft Regulation concerns the review of existing MRLs for dimoxystrobin, ethephon and propamocarb in certain food commodities. MRLs for these substances in certain commodities are lowered. Lower MRLs are set after deleting old uses which are not authorised any more in the European Union or where European Food Safety Authority in its opinion could not exclude the risk for consumers.</t>
  </si>
  <si>
    <t>Cereals (HS codes: 1001, 1002, 1003, 1004, 1005, 1006, 1007, 1008), foodstuffs of animal origin (HS codes: 0201, 0202, 0203, 0204, 0205, 0206, 0207, 0208, 0209, 0210) and certain products of plant origin, including fruit and vegetables</t>
  </si>
  <si>
    <t>10 - CEREALS; 02 - MEAT AND EDIBLE MEAT OFFAL</t>
  </si>
  <si>
    <d:r xmlns:d="http://schemas.openxmlformats.org/spreadsheetml/2006/main">
      <d:rPr>
        <d:sz val="11"/>
        <d:rFont val="Calibri"/>
      </d:rPr>
      <d:t xml:space="preserve">https://members.wto.org/crnattachments/2024/SPS/EEC/24_08186_00_e.pdf
https://members.wto.org/crnattachments/2024/SPS/EEC/24_08186_02_e.pdf
https://members.wto.org/crnattachments/2024/SPS/EEC/24_08186_03_e.pdf
https://members.wto.org/crnattachments/2024/SPS/EEC/24_08186_04_e.pdf
https://members.wto.org/crnattachments/2024/SPS/EEC/24_08186_01_e.pdf</d:t>
    </d:r>
  </si>
  <si>
    <t>Discussion document: New Zealand’s Legal Harvest Assurance System:Consultation on operational detail for the legal harvest assurance system </t>
  </si>
  <si>
    <t>As per notification G/TBT/N/NZL/113, the New Zealand Government is establishing a new regulatory system to provide legal harvest assurance for the forestry and wood-processing sector. The Forest (Legal Harvest Assurance) Amendment Act 2023 was passed in May 2023 and is to come into force by no later than 1 August 2027. The government is now consulting on regulatory proposals to give effect to the legal harvest assurance system when it comes into force. These regulatory proposals include:specifying the relevant harvest laws in New Zealand for the purposes of the definition of “legally harvested”refining the scope of timber and timber products for legal harvestobligations and requirements for the people, organisations and entities regulated under the system, including exemptions and exceptionsdue diligence system requirementsapplying for exporter statementsinformation to be displayed on the public registers for registered people and recognised people.</t>
  </si>
  <si>
    <t>4401 (Fuel wood in logs),4402 (Wood Charcoal),4403 (Wood in the rough),4407 (Wood sawn or chipped lengthwise),4408 (Sheets for veneering),4409 (Wood, Tongued, Grooved, Moulded Etc, Coniferous),4410 (Particle board), 4411 (Fibreboard of wood),4412 (Plywood),4414 (Wooden frames),4416 (Casks, barrels, vats, tubs),4418 (Builders' joinery), 4419 (Tableware and Kitchenware, Of Wood),4420 (Wood Marquetry and Inlaid Wood; Cases), 4421 (Miscellaneous wood items).4602 (Basketwork, wickerwork)4703 (Chemical wood pulp, soda or sulphate),4705 (Mechanical or chemical wood pulp)4801 (Newsprint),4802 (Uncoated paper and paperboard),4803 (Toilet or facial tissue),4804 (Uncoated kraft paper and paperboard),4805 (Other uncoated paper and paperboard),4806 (Vegetable/parchment/tracing papers),4810 (Coated paper and paperboard),4811 (Paper products coated/surfaced),4813 (Cigarette paper),4818 (Toilet paper and similar paper),4819 (Cartons, boxes),4820 (Paper booklets),4821 (Paper labels),4823 (Other paper),4901 (Printed books, brochures, leaflets and similar),4902 (Newspapers, journals, and periodicals),4909 (Printed or illustrated postcards; printed cards bearing personal greetings),4911 (Other printed matter, including printed pictures and photographs),8903 (Yachts and other vessels for pleasure or sports; rowing boats and canoes),9401 (Seats w Wooden Frames)9403 (Wooden Furniture, Except Seats),9406 (Prefabricated buildings),9504 (Video game consoles and machines, table or parlour games, including pintables, billiards, special tables for casino games and automatic bowling equipment, amusement machines operated by coins, banknotes, bank cards, tokens or by any other means of payment.).</t>
  </si>
  <si>
    <t>4401 - Fuel wood, in logs, billets, twigs, faggots or similar forms; wood in chips or particles; sawdust and wood waste and scrap, whether or not agglomerated in logs, briquettes, pellets or similar forms; 4806 - Vegetable parchment, greaseproof papers, tracing papers and glassine and other glazed transparent or translucent papers, in rolls of a width &gt; 36 cm or in square or rectangular sheets with one side &gt; 36 cm and the other side &gt; 15 cm in the unfolded state; 4810 - Paper and paperboard, coated on one or both sides with kaolin "China clay" or other inorganic substances, with or without a binder, and with no other coating, whether or not surface-coloured, surface-decorated or printed, in rolls or in square or rectangular sheets, of any size (excl. all other coated papers and paperboards); 4811 - Paper, paperboard, cellulose wadding and webs of cellulose fibres, coated, impregnated, covered, surface-coloured, surface-decorated or printed, in rolls or in square or rectangular sheets, of any size (excl. goods of heading 4803, 4809 and 4810); 4818 - Toilet paper and similar paper, cellulose wadding or webs of cellulose fibres, of a kind used for household or sanitary purposes, in rolls of a width &lt;= 36 cm, or cut to size or shape; handkerchiefs, cleansing tissues, towels, tablecloths, serviettes, bedsheets and similar household, sanitary or hospital articles, articles of apparel and clothing accessories, of paper pulp, paper, cellulose wadding or webs of cellulose fibres; 4819 - Cartons, boxes, cases, bags and other packing containers, of paper, paperboard, cellulose wadding or webs of cellulose fibres, n.e.s.; box files, letter trays, and similar articles, of paperboard of a kind used in offices, shops or the like; 4820 - Registers, account books, notebooks, order books, receipt books, letter pads, memorandum pads, diaries and similar articles, exercise books, blotting pads, binders, folders, file covers, manifold business forms, interleaved carbon sets and other articles of stationery, of paper or paperboard; albums for samples or for collections and book covers, of paper and paperboard; 4821 - Paper or paperboard labels of all kinds, whether or not printed; 4823 - 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 4813 - Cigarette paper, whether or not cut to size or in the form of booklets or tubes; 4901 - Printed books, brochures and similar printed matter, whether or not in single sheets (excl. periodicals and publications which are essentially devoted to advertising); 4902 - Newspapers, journals and periodicals, whether or not illustrated or containing advertising material; 4909 - Printed or illustrated postcards; printed cards bearing personal greetings, messages or announcements, whether or not illustrated, with or without envelopes or trimmings.; 4911 - Printed matter, incl. printed pictures and photographs, n.e.s.; 8903 - Yachts and other vessels for pleasure or sports; rowing boats and canoes; 9401 - Seats, whether or not convertible into beds, and parts thereof, n.e.s. (excl. medical, surgical, dental or veterinary of heading 9402); 9403 - Furniture and parts thereof, n.e.s. (excl. seats and medical, surgical, dental or veterinary furniture); 9406 - Prefabricated buildings, whether or not complete or already assembled; 4805 - Other paper and paperboard, uncoated, in rolls of a width &gt; 36 cm or in square or rectangular sheets with one side &gt; 36 cm and the other side &gt; 15 cm in the unfolded state, not worked other than as specified in Note 3 to this chapter, n.e.s.; 9504 - Video game consoles and machines, table or parlour games, incl. pintables, billiards, special tables for casino games and automatic bowling equipment, amusement machines operated by coins, banknotes, bank cards, tokens or by any other means of payment; 4804 - Uncoated kraft paper and paperboard, in rolls of a width &gt; 36 cm or in square or rectangular sheets with one side &gt; 36 cm and the other side &gt; 15 cm in the unfolded state (excl. goods of heading 4802 or 4803); 4802 - Uncoated paper and paperboard, of a kind used for writing, printing or other graphic purposes, and non-perforated punchcards and punch-tape paper, in rolls or in square or rectangular sheets, of any size, and handmade paper and paperboard (excl. newsprint of heading 4801 and paper of heading 4803); 4402 - Wood charcoal, incl. shell or nut charcoal, whether or not agglomerated (excl. wood charcoal used as a medicament, charcoal mixed with incense, activated charcoal and charcoal in the form of crayons); 4403 - Wood in the rough, whether or not stripped of bark or sapwood, or roughly squared (excl. rough-cut wood for walking sticks, umbrellas, tool shafts and the like; wood in the form of railway sleepers; wood cut into boards or beams, etc.); 4407 - Wood sawn or chipped lengthwise, sliced or peeled, whether or not planed, sanded or end-jointed, of a thickness of &gt; 6 mm; 4408 - Sheets for veneering, incl. those obtained by slicing laminated wood, for plywood or for other similar laminated wood and other wood, sawn lengthwise, sliced or peeled, whether or not planed, sanded, spliced or end-jointed, of a thickness of &lt;= 6 mm; 4409 - Wood, incl. strips and friezes for parquet flooring, not assembled, continuously shaped "tongued, grooved, rebated, chamfered, V-jointed beaded, moulded, rounded or the like" along any of its edges, ends or faces, whether or not planed, sanded or end-jointed; 4410 - Particle board, oriented strand board "OSB" and similar board "e.g. waferboard" of wood or other ligneous materials, whether or not agglomerated with resins or other organic binding substances (excl. fibreboard, veneered particle board, cellular wood panels and board of ligneous materials agglomerated with cement, plaster or other mineral bonding agents); 4411 - 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 4412 - Plywood, veneered panel and similar laminated wood (excl. sheets of compressed wood, cellular wood panels, parquet panels or sheets, inlaid wood and sheets identifiable as furniture components); 4414 - Wooden frames for paintings, photographs, mirrors or similar objects; 4416 - Casks, barrels, vats, tubs and other coopers' products and parts thereof, of wood, including staves.; 4418 - Builders' joinery and carpentry, of wood, incl. cellular wood panels, assembled flooring panels, shingles and shakes, of wood (excl. plywood panelling, blocks, strips and friezes for parquet flooring, not assembled, and pre-fabricated buildings); 4419 - Tableware and kitchenware, of wood (excl. interior fittings, ornaments, coopers' products, tableware and kitchenware components of wood, brushes, brooms and hand sieves); 4420 - Wood marquetry and inlaid wood; caskets and cases for jewellery or cutlery, and similar articles, of wood; statuettes and other ornaments, of wood; wooden articles of furniture (excl. furniture, lighting fixtures and parts thereof); 4421 - Other articles of wood, n.e.s.; 4703 - Chemical wood pulp, soda or sulphate (excl. dissolving grades); 4705 - Wood pulp obtained by a combination of mechanical and chemical pulping processes.; 4801 - Newsprint, in rolls or sheets.; 4803 - 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 4602 - Basketwork, wickerwork and other articles, made directly to shape from plaiting materials or made up from goods of heading 4601, and articles of loofah (excl. wallcoverings of heading 4814; twine, cord and rope; footware and headgear and parts thereof; vehicles and vehicle superstructures; goods of chapter 94, e.g. furniture, lighting fixtures)</t>
  </si>
  <si>
    <t>75.160.10 - Solid fuels; 79.040 - Wood, sawlogs and sawn timber; 79.060 - Wood-based panels; 85.080 - Paper products; 91.060 - Elements of buildings; 97.040 - Kitchen equipment</t>
  </si>
  <si>
    <t>Draft of Egyptian standard ES 328 “ball point pens and refills” (17 page(s), in Arabic)</t>
  </si>
  <si>
    <t>Products covered: (ICS : 97.180) Miscellaneous domestic and commercial equipment This addendum concerns the notification of Draft of Egyptian standard ES 328 “ball point pens and refills” (17 page(s), in Arabic).It should be noted that the Ministerial Decree No. 423/2005 (25 pages, in Arabic) which was formerly notified in G/TBT/N/EGY/3 dated 14 December 2005, the standard was formerly notified in G/TBT/N/EGY/37 dated 16 May 2013, mandated among others the earlier versions of this Standard.Worth mentioning is that this draft standard is technically identical with - ISO 12757-1:2017, ISO 12757-2:1998 .Producers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from:National Enquiry Point Egyptian Organization for Standardization and Quality 16 Tadreeb El-Modarrebeen St., Ameriya, Cairo - Egypt E-mail: eos@eos.org.eg/eos.tbt@eos.org.eg Website: http://www.eos.org.eg Tel: + (202) 22845528 Fax: + (202) 22845504</t>
  </si>
  <si>
    <t>91.100 - Construction materials; 97.180 - Miscellaneous domestic and commercial equipment</t>
  </si>
  <si>
    <t>Establishment of the labelling information with respect to measures, etc., for preventing environmental pollution attributable to the relevant class II specified chemical substances, to be indicated on containers, packaging, or invoices for NPE or the products specified in Article 9 of the Order for Enforcement of the Act on the Regulation of Manufacture and Evaluation of Chemical Substances which use NPE</t>
  </si>
  <si>
    <t>Based on Article 2, paragraph 3, of the Act on the Regulation of Manufacture and Evaluation of Chemical Substances (hereinafter referred to as “the Act”), Poly (oxyethylene)=alkyl phenyl ether (where the alkyl consists of 9 carbon atoms, hereinafter referred to as “NPE”) was designated as a class II specified chemical substance.Based on Article 37, paragraph 1 of the Act on the Regulation of Manufacture and Evaluation of Chemical Substances, the following is hereby established as the labelling information with respect to measures, etc., for preventing environmental pollution attributable to NPE, etc. for business operators handling NPE, etc. - That it is NPE or that NPE is used in the product - That NPE is a class II specified chemical substance - The concentration of NPE - Precautions (e.g., periodic inspections to prevent leakage) - The name of the person (or business name in the case of a company) providing the labelling information and their address https://www.meti.go.jp/policy/chemical_management/kasinhou/files/about/laws/laws_r070401_npe_h.pdf　(Japanese only)</t>
  </si>
  <si>
    <t>Poly (oxyethylene)=alkyl phenyl ether (where the alkyl consists of 9 carbon atoms, hereinafter referred to as “NPE”) and NPE-added water-based cleaning agents</t>
  </si>
  <si>
    <d:r xmlns:d="http://schemas.openxmlformats.org/spreadsheetml/2006/main">
      <d:rPr>
        <d:sz val="11"/>
        <d:rFont val="Calibri"/>
      </d:rPr>
      <d:t xml:space="preserve">Public notice of the labelling information with respect to measures
 etc.
 for preventing environmental pollution attributable to the relevant class II specified chemical substances
 to be indicated on containers
 packaging
 or invoices for NPE or the products specified in Article 9 of the Order for Enforcement of the Act on the Regulation of Manufacture and Evaluation of Chemical Substances which use NPE  
https://www.meti.go.jp/policy/chemical_management/kasinhou/files/about/laws/laws_r070401_npe_h.pdf (Japanese only)</d:t>
    </d:r>
  </si>
  <si>
    <t>Draft Plant Quarantine (Regulation of Import into India) Order, 2003 (Fifteenth Amendment) 2024</t>
  </si>
  <si>
    <t>The Draft Plant Quarantine (Regulation of Import into India) (Fifteenth Amendment) Order, 2024 seeks to further liberalize provisions governing import of Nuts (seeds) for consumption of Macadamia spp. (Macadamia Nuts) from Australia.</t>
  </si>
  <si>
    <t>Nuts (seeds) for consumption of Macadamia spp. (Macadamia Nuts)</t>
  </si>
  <si>
    <t>08026 - - Macadamia nuts:</t>
  </si>
  <si>
    <d:r xmlns:d="http://schemas.openxmlformats.org/spreadsheetml/2006/main">
      <d:rPr>
        <d:sz val="11"/>
        <d:rFont val="Calibri"/>
      </d:rPr>
      <d:t xml:space="preserve">https://members.wto.org/crnattachments/2024/SPS/IND/24_08187_00_e.pdf</d:t>
    </d:r>
  </si>
  <si>
    <t>Measures to prevent the presence of the Tomato brown rugose fruit virus on plants for planting of Solanum lycopersicum L. and hybrids thereof and of Capsicum annuum L., and establishing the frequency rates of official controls</t>
  </si>
  <si>
    <t>The proposal notified in G/SPS/N/EU/798 (9 October 2024) is now adopted by Commission Implementing Regulation (EU) 2024/2970 of 29 November 2024 amending Implementing Regulation (EU) 2019/2072 as regards measures to prevent the presence of the Tomato brown rugose fruit virus on plants for planting of Solanum lycopersicum L. and hybrids thereof and of Capsicum annuum L., and establishing the frequency rates of official controls.The Regulation shall apply from 1 January 2025. Article 2 shall apply until 31 December 2026.</t>
  </si>
  <si>
    <t>Plants for planting of Solanum lycopersicum L. and hybrid thereof, and of Capsicum annuum L.</t>
  </si>
  <si>
    <t>Adoption/publication/entry into force of reg.; Plant health; Plant health</t>
  </si>
  <si>
    <d:r xmlns:d="http://schemas.openxmlformats.org/spreadsheetml/2006/main">
      <d:rPr>
        <d:sz val="11"/>
        <d:rFont val="Calibri"/>
      </d:rPr>
      <d:t xml:space="preserve">https://members.wto.org/crnattachments/2024/SPS/EEC/24_08173_00_e.pdf
https://members.wto.org/crnattachments/2024/SPS/EEC/24_08173_00_f.pdf
https://members.wto.org/crnattachments/2024/SPS/EEC/24_08173_00_s.pdf</d:t>
    </d:r>
  </si>
  <si>
    <t>Revision of the Regulation for Enforcement of the Act on the Evaluation of Chemical Substances and Regulation of Their Manufacture, etc. Related to the Ministry of Economy, Trade and Industry</t>
  </si>
  <si>
    <t>Based on Article 2, paragraph 3, of the Act on the Regulation of Manufacture and Evaluation of Chemical Substances (hereinafter referred to as “the Act”), Poly (oxyethylene)=alkyl phenyl ether (where the alkyl consists of 9 carbon atoms, hereinafter referred to as “NPE”) was designated as a class II specified chemical substance. Based on Article 35, paragraph 1,2, and 6 of the Act, a person who manufactures or imports NPE shall notify the planned quantity of NPE to be manufactured or imported and the quantity of NPE manufactured or imported in the preceding fiscal year. The chemical structure of NPE can vary and therefore, for substance identification additional information such as CAS RN will be needed. For this objective, the notification forms under the Regulation for Enforcement of the Act on the Evaluation of Chemical Substances and Regulation of Their Manufacture, etc. Related to the Ministry of Economy, Trade and Industry will be revised.https://www.meti.go.jp/policy/chemical_management/kasinhou/files/about/laws/laws_r070401_s.pdf　（Japanese only）</t>
  </si>
  <si>
    <t>Poly (oxyethylene)=alkyl phenyl ether (where the alkyl consists of 9 carbon atoms, hereinafter referred to as “NPE”.)</t>
  </si>
  <si>
    <t>71.100 - Products of the chemical industry; 71.100 - Products of the chemical industry</t>
  </si>
  <si>
    <d:r xmlns:d="http://schemas.openxmlformats.org/spreadsheetml/2006/main">
      <d:rPr>
        <d:sz val="11"/>
        <d:rFont val="Calibri"/>
      </d:rPr>
      <d:t xml:space="preserve">The Ordinance for Making a Partial Revision of the Regulation for Enforcement of the Act on the Evaluation of Chemical Substances ad Regulation of Their Manufacture
 etc. Related to the Ministry of Economy
 Trade and Industry
https://www.meti.go.jp/policy/chemical_management/kasinhou/files/about/laws/laws_r070401_s.pdf (Japanese only）</d:t>
    </d:r>
  </si>
  <si>
    <t>Addition of prohibited areas of Xylella fastidiosa</t>
  </si>
  <si>
    <t>The Animal and Plant Quarantine Agency (APQA), Ministry of Agriculture, Food and Rural Affairs (MAFRA) in the Republic of Korea, has added prohibited areas (Peru) regarding host plant of Xylella fastidiosa and the vectors, one of the prohibited quarantine pests of the Republic of Korea, which is based on the result of a Pest Risk Analysis (PRA).The import of relevant parts of host plants and the vectors associated with Xylella fastidiosa from Peru will be prohibited from consignments shipped on or after 9 December 2024.Please find the attachment for more details of host plants, the vectors and distributed areas:</t>
  </si>
  <si>
    <t>Plants</t>
  </si>
  <si>
    <t>Plant health; Pests; Modification of content/scope of regulation; Pests; Plant health</t>
  </si>
  <si>
    <d:r xmlns:d="http://schemas.openxmlformats.org/spreadsheetml/2006/main">
      <d:rPr>
        <d:sz val="11"/>
        <d:rFont val="Calibri"/>
      </d:rPr>
      <d:t xml:space="preserve">https://members.wto.org/crnattachments/2024/SPS/KOR/24_08183_00_e.pdf</d:t>
    </d:r>
  </si>
  <si>
    <t>Resolución 18592 de 2024 "Por la cual se declara el Estado de Emergencia Sanitaria en el Territorio Nacional por la presencia de un brote de Influenza Aviar de Alta Patogenicidad en aves de traspatio" (Resolution No. 18592 of 2024, declaring a health emergency in the national territory because of an outbreak of highly pathogenic avian influenza in backyard birds)</t>
  </si>
  <si>
    <t>The notified Resolution declares a health emergency in the national territory because of an outbreak of highly pathogenic avian influenza in domestic birds (backyard birds). These provisions will apply to all natural and/or legal persons keeping, in any capacity, commercial birds, fighting birds and/or backyard birds, as well as to live bird traders in the national territory.</t>
  </si>
  <si>
    <t>Domestic birds (backyard birds)</t>
  </si>
  <si>
    <t>0105 - Live poultry, "fowls of the species Gallus domesticus, ducks, geese, turkeys and guinea fowls"</t>
  </si>
  <si>
    <t>Animal health; Animal diseases; Avian Influenza</t>
  </si>
  <si>
    <d:r xmlns:d="http://schemas.openxmlformats.org/spreadsheetml/2006/main">
      <d:rPr>
        <d:sz val="11"/>
        <d:rFont val="Calibri"/>
      </d:rPr>
      <d:t xml:space="preserve">https://members.wto.org/crnattachments/2024/SPS/COL/24_08176_00_s.pdf
https://www.ica.gov.co/getattachment/a4c362ed-0c67-408b-af01-bd8806691269/2024R00018592.aspx</d:t>
    </d:r>
  </si>
  <si>
    <t>Federal Motor Vehicle Safety Standards; FMVSS No. 213, “Child Restraint Systems,” FMVSS No. 213a, “Child Restraint Systems--Side Impact Protection,” and FMVSS No. 213b, “Child Restraint Systems”-- Response to Petitions for Reconsideration</t>
  </si>
  <si>
    <t xml:space="preserve">On 9 October 2024, the National Highway Traffic Safety Administration (NHTSA) issued a final rule (notified as G/TBT/N/USA/882/Add.4) responding to petitions for reconsideration of a June 2022 final rule (notified as G/TBT/N/USA/882/Add.3) establishing Federal Motor Vehicle Safety Standard (FMVSS) No. 213a and the December 2023 final rule establishing FMVSS No. 213b. That rule contained an amendatory instruction to amend a section of text that did not exist. This document provides the correct amendatory instruction. It does not change the regulatory text set forth in the 9 October 2024 final rule.Effective on 4 December 2024.89 Federal Register (FR) 96125, 4 December 2024; Title 49 Code of Federal Regulations (CFR) Part 571_x000D_
https://www.govinfo.gov/content/pkg/FR-2024-12-04/html/2024-28165.htm_x000D_
https://www.govinfo.gov/content/pkg/FR-2024-12-04/pdf/2024-28165.pdf_x000D_
This action is identified by Docket Number NHTSA-2024-0058. The Docket Folder is available from Regulations.gov at https://www.regulations.gov/docket/NHTSA-2024-0058/document and provides access to primary documents as well as comments received. Other actions notified under the symbol G/TBT/N/USA/882 are identified by Docket Numbers  NHTSA-2014-0012 and   NHTSA-2022-0051. Documents are also accessible from Regulations.gov by searching the Docket Number. </t>
  </si>
  <si>
    <t>Child restraint systems</t>
  </si>
  <si>
    <t>43.040 - Road vehicle systems; 43.040 - Road vehicle systems; 43.040 - Road vehicle systems; 97.190 - Equipment for children; 97.190 - Equipment for children; 97.190 - Equipment for children</t>
  </si>
  <si>
    <d:r xmlns:d="http://schemas.openxmlformats.org/spreadsheetml/2006/main">
      <d:rPr>
        <d:sz val="11"/>
        <d:rFont val="Calibri"/>
      </d:rPr>
      <d:t xml:space="preserve">https://members.wto.org/crnattachments/2024/TBT/USA/24_08178_00_e.pdf</d:t>
    </d:r>
  </si>
  <si>
    <t>Phytosanitary import requirements for fresh kiwi berry (Actinidia arguta) originating in and coming from the United States of America The final phytosanitary requirements for the importation into Mexico of fresh kiwi berry (Actinidia arguta) for consumption, originating in and coming from the United States of America, are hereby notified. The final measure can be viewed using combination key (clave de combinación) 2722-101-4615-USA-USA at: https://sistemasssl.senasica.gob.mx/mcrfi. https://members.wto.org/crnattachments/2024/SPS/MEX/24_08159_00_s.pdf</t>
  </si>
  <si>
    <t>Fresh kiwifruit (HS code(s): 081050); fresh kiwi berry (Actinidia arguta)</t>
  </si>
  <si>
    <t>081050 - Fresh kiwifruit; 081050 - Fresh kiwifruit</t>
  </si>
  <si>
    <t>Food safety (SPS); Plant protection (SPS); Protect humans from animal/plant pest or disease (SPS); Protect territory from other damage from pests (SPS)</t>
  </si>
  <si>
    <t>Territory protection; Pests; Food safety; Plant health; Human health; Adoption/publication/entry into force of reg.; Territory protection; Pests; Food safety; Plant health; Human health</t>
  </si>
  <si>
    <d:r xmlns:d="http://schemas.openxmlformats.org/spreadsheetml/2006/main">
      <d:rPr>
        <d:sz val="11"/>
        <d:rFont val="Calibri"/>
      </d:rPr>
      <d:t xml:space="preserve">https://members.wto.org/crnattachments/2024/SPS/MEX/24_08159_00_s.pdf
La medida definitiva puede consultarse bajo la clave de combinación 2722-101-4615-USA-USA en el siguiente enlace: https://sistemasssl.senasica.gob.mx/mcrfi.</d:t>
    </d:r>
  </si>
  <si>
    <t>SB 54 Plastic Pollution Prevention and Packaging Producer Responsibility Act Regulations </t>
  </si>
  <si>
    <t>The California Department of Resources Recycling and Recovery (CalRecycle) has begun a second 15-day written comment period for the proposed revisions to the SB 54 Plastic Pollution Prevention and Packaging Producer Responsibility Act Permanent Rulemaking. This second 15-day written comment period follows a previous 21-day public comment period that began on 14 October 2024, and ended on 4 November 2024, and an initial 61-day public comment period that began on 8 March 2024, and ended on 8 May 2024. On 23 April 2024, CalRecycle held a hybrid public hearing to receive public comments.CalRecycle will only consider written comments sent to CalRecycle and received during the 15-day written comment period which began on 2 December 2024, and ends on 17 December 2024. Written comments received by CalRecycle after the close of the public comment period are considered untimely. CalRecycle may, but is not required to, respond to untimely comments.Notice of Second 15-Day Changes to Proposed Rulemaking. The notice of changes that have been made to the original proposed regulationsUpdated Proposed Regulation Text. The updated express language that shows any proposed adoption, amendment, or deletion to the regulations.WTO Members and their stakeholders are asked to submit comments to the USA TBT Enquiry Point. Comments received by the USA TBT Enquiry Point from WTO Members and their stakeholders by 4pmEastern Time on 17 December 2024 will be shared with CalRecycle.</t>
  </si>
  <si>
    <t>Plastic packaging; Quality (ICS code(s): 03.120); Environmental protection (ICS code(s): 13.020); Recycling (ICS code(s): 13.030.50); Packaging materials and accessories (ICS code(s): 55.040); Bottles. Pots. Jars (ICS code(s): 55.100); Plastics (ICS code(s): 83.080)</t>
  </si>
  <si>
    <t>03.120 - Quality; 13.020 - Environmental protection; 13.030.50 - Recycling; 55.040 - Packaging materials and accessories; 55.100 - Bottles. Pots. Jars; 83.080 - Plastics; 03.120 - Quality; 13.020 - Environmental protection; 13.030.50 - Recycling; 55.040 - Packaging materials and accessories; 55.100 - Bottles. Pots. Jars; 83.080 - Plastics</t>
  </si>
  <si>
    <d:r xmlns:d="http://schemas.openxmlformats.org/spreadsheetml/2006/main">
      <d:rPr>
        <d:sz val="11"/>
        <d:rFont val="Calibri"/>
      </d:rPr>
      <d:t xml:space="preserve">https://members.wto.org/crnattachments/2024/TBT/USA/modification/24_08144_00_e.pdf
https://members.wto.org/crnattachments/2024/TBT/USA/modification/24_08144_01_e.pdf
https://calrecycle.ca.gov/Laws/Rulemaking/SB54Regulations/
</d:t>
    </d:r>
  </si>
  <si>
    <t>Draft of Egyptian standard ES 1758  " marking pens (14 page(s), in Arabic).</t>
  </si>
  <si>
    <t>This draft of the Egyptian standard ES 1758  which  specifies Water-based and oil-based felt-tip pens, which consist of a container made of plastic, glass, and metal, inside which is an absorbent part saturated with ink, and the pen tip is made of fiber or plastic and is connected to the container. Brush pens are excluded from the group of water-based marker pens. Worth mentioning is that this draft standard is technically identical with JIS S 6037/2021</t>
  </si>
  <si>
    <t>Drawing equipment (ICS code(s): 01.100.40)</t>
  </si>
  <si>
    <t>01.100.40 - Drawing equipment</t>
  </si>
  <si>
    <t xml:space="preserve">Proposed Settlement Agreement, Federal Insecticide, Rodenticide, 
and Fungicide Act </t>
  </si>
  <si>
    <t xml:space="preserve">EPA 
is giving notice of and seeking comment on a proposed settlement 
agreement. </t>
  </si>
  <si>
    <t>Products containing the active ingredient cyantraniliprole</t>
  </si>
  <si>
    <d:r xmlns:d="http://schemas.openxmlformats.org/spreadsheetml/2006/main">
      <d:rPr>
        <d:sz val="11"/>
        <d:rFont val="Calibri"/>
      </d:rPr>
      <d:t xml:space="preserve">https://www.govinfo.gov/content/pkg/FR-2024-12-02/html/2024-28121.htm</d:t>
    </d:r>
  </si>
  <si>
    <t>The DLD order on temporary suspension of  the importation or transit of live poultry and poultry carcasses from Nigeria to prevent the spread of Highly Pathogenic Avian Influenza (Subtype H5N1)</t>
  </si>
  <si>
    <t>The WOAH has reported an outbreak of Highly Pathogenic Avian Influenza (Subtype H5N1) in the area of Nigeria. Therefore, it is necessary for Thailand to prevent the entry of Highly Pathogenic Avian Influenza (Subtype H5N1) into the country. By the virtue of the Animal Epidemics Act B.E. 2558 (2015), the importation or transit of live poultry and poultry carcasses from Nigeria has been temporarily suspended.  </t>
  </si>
  <si>
    <t>Live poultry and poultry carcasses under Animal Epidemics Act B.E. 2558 (2015)</t>
  </si>
  <si>
    <t>Animal health; Animal diseases; Zoonoses; Avian Influenza</t>
  </si>
  <si>
    <t>Nigeria</t>
  </si>
  <si>
    <t>Draft of Egyptian standard  " disposable nursing pad" </t>
  </si>
  <si>
    <t>This draft of Egyptian standard specifies the requirements that must be met in a single-use breast pad to absorb breast fluids during the breastfeeding period.Worth mentioning is that this draft standard complies with the following:- Nordic Swan Ecolabelling of sanitary products version 6.0 /2016 - Regulation (EC) No 1907/2006 - Registration, Evaluation, Authorisation and Restriction of Chemicals (REACH).- Regulation (EC) No 1272/2008 - classification, labelling and packaging of substances and mixtures (CLP).- KS 2796/2018 Disposable nursing pad – Specification. </t>
  </si>
  <si>
    <t>Products of the chemical industry (ICS code(s): 71.100)</t>
  </si>
  <si>
    <t>97.170 - Body care equipment; 71.100 - Products of the chemical industry</t>
  </si>
  <si>
    <t>Draft Ministerial Regulation Prescribing Industrial Products for Plastic Containers for Drinking Water to Conform to the Standard B.E. ....</t>
  </si>
  <si>
    <t>The draft Ministerial Regulation mandates plastic container for drinking water with a capacity not exceeding 20 liters to conform to the Thai Industrial Standard TIS 998-2553(2010) Plastic Containers for Drinking Water.</t>
  </si>
  <si>
    <t>Plastic containers for drinking water (ICS 55.120; 67.250; 83.140.99)</t>
  </si>
  <si>
    <t>55.120 - Cans. Tins. Tubes; 67.250 - Materials and articles in contact with foodstuffs; 83.140.99 - Other rubber and plastics products</t>
  </si>
  <si>
    <d:r xmlns:d="http://schemas.openxmlformats.org/spreadsheetml/2006/main">
      <d:rPr>
        <d:sz val="11"/>
        <d:rFont val="Calibri"/>
      </d:rPr>
      <d:t xml:space="preserve">https://members.wto.org/crnattachments/2024/TBT/THA/24_08145_00_x.pdf</d:t>
    </d:r>
  </si>
  <si>
    <t>Draft Commission Implementing Regulation approving formic acid as an existing active substance for use in biocidal products of product-type 6 in accordance with Regulation (EU) No 528/2012 of the European Parliament and of the Council</t>
  </si>
  <si>
    <t>This draft Commission Implementing Regulation approves formic acid as an existing active substance for use in biocidal products of product-type 6. </t>
  </si>
  <si>
    <t>Biocidal products</t>
  </si>
  <si>
    <t>71.100 - Products of the chemical industry</t>
  </si>
  <si>
    <d:r xmlns:d="http://schemas.openxmlformats.org/spreadsheetml/2006/main">
      <d:rPr>
        <d:sz val="11"/>
        <d:rFont val="Calibri"/>
      </d:rPr>
      <d:t xml:space="preserve">https://members.wto.org/crnattachments/2024/TBT/EEC/24_08156_00_e.pdf
https://members.wto.org/crnattachments/2024/TBT/EEC/24_08156_01_e.pdf</d:t>
    </d:r>
  </si>
  <si>
    <t>Draft of Egyptian standard" ladies napkins for incontinence " (11 page(s), in Arabic)</t>
  </si>
  <si>
    <t>This draft of the Egyptian standard which specifies the requirements that must be met in feminine pads used for absorbent urinary incontinence.Worth mentioning is that this draft standard complies with with the following : - Commission decision EU 2014/763.- Regulation (EC) No 1907/2006 - Registration, Evaluation.- Regulation (EC) No 1272/2008. - IS 17508/2020.</t>
  </si>
  <si>
    <t>Products of the textile industry (ICS code(s): 59.080); Tissue paper (ICS code(s): 85.080.20)</t>
  </si>
  <si>
    <t>59.080 - Products of the textile industry; 85.080.20 - Tissue paper</t>
  </si>
  <si>
    <t xml:space="preserve">Asbestos Part 2 Supplemental Evaluation Including Legacy Uses and 
Associated Disposals; Risk Evaluation Under the Toxic Substances 
Control Act (TSCA); Notice of Availability</t>
  </si>
  <si>
    <t xml:space="preserve">Notice of Availability - The Environmental Protection Agency (EPA or Agency) is 
announcing the availability of the final supplemental risk evaluation 
under the under the Toxic Substances Control Act (TSCA) for asbestos 
Part 2: addressing legacy uses and associated disposal. The purpose of 
risk evaluations under TSCA is to determine whether a chemical 
substance presents an unreasonable risk of injury to health or the 
environment, without consideration of costs or non-risk factors, 
including unreasonable risk to potentially exposed or susceptible 
subpopulations identified as relevant to the risk evaluation by EPA, 
under the conditions of use. For the part 2 supplemental risk 
evaluation, the Agency evaluated legacy uses and associated disposals 
of asbestos including chrysotile asbestos, five additional fiber types, 
conditions of use for asbestos-containing talc that are subject to 
TSCA, and Libby asbestos. EPA used the best available science to 
prepare this final supplemental risk evaluation and determined, based 
on the weight of scientific evidence, that asbestos poses unreasonable 
risk to human health. Under TSCA, EPA must initiate risk management 
actions to address the unreasonable risk.&gt;_x000D_
</t>
  </si>
  <si>
    <t>Asbestos; Asbestos (excl. products made from asbestos) (HS code(s): 2524); Environmental protection (ICS code(s): 13.020); Protection against dangerous goods (ICS code(s): 13.300); Production in the chemical industry (ICS code(s): 71.020); Products of the chemical industry (ICS code(s): 71.100)</t>
  </si>
  <si>
    <t>2524 - Asbestos (excl. products made from asbestos)</t>
  </si>
  <si>
    <t>13.020 - Environmental protection; 13.300 - Protection against dangerous goods; 71.020 - Production in the chemical industry; 71.100 - Products of the chemical industry</t>
  </si>
  <si>
    <d:r xmlns:d="http://schemas.openxmlformats.org/spreadsheetml/2006/main">
      <d:rPr>
        <d:sz val="11"/>
        <d:rFont val="Calibri"/>
      </d:rPr>
      <d:t xml:space="preserve">https://members.wto.org/crnattachments/2024/TBT/USA/24_08161_00_e.pdf</d:t>
    </d:r>
  </si>
  <si>
    <t>Draft Resolution of the Cabinet of Ministers of Ukraine “Some Issues of Approval of the Design of Vehicles, Their Parts and Equipment”</t>
  </si>
  <si>
    <t xml:space="preserve">The draft Resolution proposes to adopt the Technical Regulation for the approval of the design of vehicles, their parts and equipment, which will define safety requirements for wheeled vehicles of categories M, N, O, L, new parts and equipment that can be installed and/or used on wheeled vehicles in accordance with the requirements of the Agreement concerning the Adoption of Uniform Technical Prescriptions for Wheeled Vehicles, Equipment and Parts Which Can Be Fitted and/or Be Used on Wheeled Vehicles and the Conditions for Reciprocal Recognition of Approvals Granted on the Basis of These Prescriptions. It will also establish the procedure for circulation and the process for approving vehicle design._x000D_
The draft Resolution also specifies the following provisions:_x000D_
1) the first state registration of wheeled vehicles in Ukraine shall be carried out if there is a certificate of conformity or a certificate of conformity for individual approval, issued in accordance with the Technical Regulation;_x000D_
2) the placing on the market of wheeled vehicles, their parts and equipment that meet the requirements of the Procedure for approval of vehicles design, their parts and equipment, approved by the Order of the Ministry of Infrastructure of Ukraine No. 521 of 17 August 2012 and were put into circulation before the date of entry into force of this Resolution, may not be prohibited or restricted due to non-compliance of vehicles, their parts and equipment with the requirements of the Technical Regulation, approved by this Resolution;3) the circulation of parts and equipment of wheeled vehicles shall be carried out if there is a type certificate or certificate of conformity, issued in accordance with the Technical Regulation;_x000D_
4) a type certificate for a wheeled vehicle or parts and equipment, whose type complies with the requirements set out in the Technical Regulation, shall be issued by organizations designated by the Ministry of Communities and Territories Development of Ukraine, notified in accordance with the Agreement concerning the Adoption of Uniform Technical Prescriptions for Wheeled Vehicles, Equipment and Parts Which Can Be Fitted and/or Be Used on Wheeled Vehicles and the Conditions for Reciprocal Recognition of Approvals Granted on the Basis of These Prescriptions  (hereinafter – authorized bodies);5) a certificate of conformity shall be issued by the manufacturer or its authorized representative - a resident of Ukraine for each wheeled vehicle, the type of which meets the requirements of the Technical Regulation, as confirmed by the type certificate of the wheeled vehicle;6) certificates of conformity for individual approval shall be issued by authorized bodies or certification bodies for each new wheeled vehicle or a batch of parts and equipment that comply with the requirements of the Technical Regulation, but whose type compliance is not confirmed by the type certificate of the wheeled vehicle, as well as for a wheeled vehicle that has been used and is subject to first state registration or has been modified;7) authorized bodies and certification bodies designated  by the Ministry of Communities and Territories Development,  prior to the entry into force of this Resolution, shall continue their conformity assessment activities in accordance with the Technical Regulation.</t>
  </si>
  <si>
    <t>Wheeled vehicles of categories M, N, O, L, new parts and equipment that can be installed and/or used on wheeled vehicles</t>
  </si>
  <si>
    <t>43.020 - Road vehicles in general; 43.040 - Road vehicle systems</t>
  </si>
  <si>
    <t>Protection of human health or safety (TBT); Quality requirements (TBT); Harmonization (TBT)</t>
  </si>
  <si>
    <d:r xmlns:d="http://schemas.openxmlformats.org/spreadsheetml/2006/main">
      <d:rPr>
        <d:sz val="11"/>
        <d:rFont val="Calibri"/>
      </d:rPr>
      <d:t xml:space="preserve">https://members.wto.org/crnattachments/2024/TBT/UKR/24_08148_00_x.pdf
https://members.wto.org/crnattachments/2024/TBT/UKR/24_08148_01_x.pdf
https://members.wto.org/crnattachments/2024/TBT/UKR/24_08148_02_x.pdf
https://members.wto.org/crnattachments/2024/TBT/UKR/24_08148_03_x.pdf
https://members.wto.org/crnattachments/2024/TBT/UKR/24_08148_04_x.pdf
https://members.wto.org/crnattachments/2024/TBT/UKR/24_08148_05_x.pdf
https://members.wto.org/crnattachments/2024/TBT/UKR/24_08148_06_x.pdf
https://members.wto.org/crnattachments/2024/TBT/UKR/24_08148_07_x.pdf
https://members.wto.org/crnattachments/2024/TBT/UKR/24_08148_08_x.pdf
https://members.wto.org/crnattachments/2024/TBT/UKR/24_08148_09_x.pdf
https://members.wto.org/crnattachments/2024/TBT/UKR/24_08148_10_x.pdf
https://members.wto.org/crnattachments/2024/TBT/UKR/24_08148_11_x.pdf
https://members.wto.org/crnattachments/2024/TBT/UKR/24_08148_12_x.pdf
https://members.wto.org/crnattachments/2024/TBT/UKR/24_08148_13_x.pdf
https://members.wto.org/crnattachments/2024/TBT/UKR/24_08148_14_x.pdf</d:t>
    </d:r>
  </si>
  <si>
    <t>Draft phytosanitary requirements governing the importation into Mexico of fava beans (Vicia faba L.) for consumption and/or industrial use, originating in and coming from Canada The final phytosanitary requirements for the importation into Mexico of fava beans (Vicia faba) for consumption and/or industrial use, originating in and coming from Canada, are hereby notified. The final measure can be viewed using combination key (clave de combinación) 2163-112-4617-CAN-CAN at: https://sistemasssl.senasica.gob.mx/mcrfi. https://members.wto.org/crnattachments/2024/SPS/MEX/24_08160_00_s.pdf</t>
  </si>
  <si>
    <t>Grano de haba (Vicia faba L.) para consumo y/o industrial</t>
  </si>
  <si>
    <t>Adoption/publication/entry into force of reg.; Plant health; Pests; Territory protection; Pests; Territory protection; Plant health</t>
  </si>
  <si>
    <d:r xmlns:d="http://schemas.openxmlformats.org/spreadsheetml/2006/main">
      <d:rPr>
        <d:sz val="11"/>
        <d:rFont val="Calibri"/>
      </d:rPr>
      <d:t xml:space="preserve">https://members.wto.org/crnattachments/2024/SPS/MEX/24_08160_00_s.pdf
La medida definitiva puede consultarse bajo la clave de combinación 2163-112-4617-CAN-CAN en el siguiente enlace: https://sistemasssl.senasica.gob.mx/mcrfi.</d:t>
    </d:r>
  </si>
  <si>
    <t>Draft of Egyptian standard ES 1895 " white medicinal oils ( paraffin oils )" </t>
  </si>
  <si>
    <t>ThisDraft of Egyptian standard ES 1895 which  specifies advertisements for medical white minerals, which are used for pharmaceutical and cosmetic purposes, as well as for lubricating entities used in the food and rice whitening industries, and other industries that require the use of mineral oil of a high degree of purity.Worth mentioning is that this draft standard is technically identical with modification  shown in annex A of the standard with the United States pharmacopeia (USP)(2021)</t>
  </si>
  <si>
    <t>Gaseous fuels (ICS code(s): 75.160.30)</t>
  </si>
  <si>
    <t>75.160.30 - Gaseous fuels</t>
  </si>
  <si>
    <t>Norma Técnica Peruana NTP 202.900:2024 - ENVASE Y EMBALAJE. Adhesivos para etiquetas autoadhesivas en empaques y envases de alimentos. Especificaciones. 1ª Edición (Peruvian Technical Standard (NTP) No. 202.900:2024, "Packaging. Adhesives for food packaging labels. Specifications." First edition).</t>
  </si>
  <si>
    <t>Resolution No. 023-2024-INACAL/DN, published in the Official Journal, El Peruano, of 31 October 2024, approves Peruvian Technical Standard (NTP) No. 202.900:2024, "Packaging. Adhesives for food packaging labels. Specifications." First edition. Ministerio de Comercio Exterior y Turismo, MINCETUR (Ministry of Foreign Trade and Tourism) Calle Uno Oeste Nº 50 - Urb. Corpac - Lima 27 - Peru Tel.: (+51 1) 513-6100, Ext. 1223 and 1239 Email: otc@mincetur.gob.pe __________</t>
  </si>
  <si>
    <t xml:space="preserve">TARIFF HEADING DESCRIPTION 0209 Pig fat, free of lean meat, and poultry fat, not rendered or otherwise extracted, fresh, chilled, frozen, salted, in brine, dried or smoked. 0306 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flours, meals and pellets of crustaceans, fit for human consumption. G/TBT/N/PER/162 - 2 -   0307 Molluscs, whether in shell or not, live, fresh, chilled, frozen, dried, salted or in brine; smoked molluscs, whether in shell or not, whether or not cooked before or during the smoking process; flours, meals and pellets of molluscs, fit for human consumption. 0401 Milk and cream, not concentrated nor containing added sugar or other sweetening matter. 0402 Milk and cream, concentrated or containing added sugar or other sweetening matter. 0402991000 Condensed milk 0402999000 Other milk and cream, containing added sugar or other sweetening matter 0403100020 Yogurt, flavoured or containing added fruit, nuts or cocoa, whether or not containing added sugar or other sweetening matter 0405 Butter and other fats and oils derived from milk; dairy spreads. 040590 Other fats and oils derived from milk 0406 Cheese and curd. 0406909000 Other cheese 0802 Other nuts, fresh or dried, whether or not shelled or peeled. 160239 Other prepared or preserved meat, meat offal or blood of poultry of heading 01.05 1604 Prepared or preserved fish; caviar and caviar substitutes prepared from fish eggs. 1701 Cane or beet sugar and chemically pure sucrose, in solid form. 1704 Sugar confectionery (including white chocolate), not containing cocoa. 1806 Chocolate and other food preparations containing cocoa. 2009 Fruit juices (including grape must) and vegetable juices, unfermented and not containing added spirit, whether or not containing added sugar or other sweetening matter. 2103 Sauces and preparations therefor; mixed condiments and mixed seasonings; mustard flour and meal and prepared mustard. 1517100000 Margarine, excluding liquid margarine 1517900000 Margarine; edible mixtures or preparations of animal or vegetable fats or oils or of fractions of different fats or oils of this Chapter, other than edible fats or oils or their fractions of heading 15.16 G/TBT/N/PER/162 - 3 -   1601000000 Sausages and similar products, of meat, meat offal or blood; food preparations based on these products. 1602100000 Homogenised preparations 1602200000 Prepared or preserved liver of any animal 1602321090 Other prepared or preserved meat, meat offal or blood of fowls of the species Gallus domesticus, seasoned and frozen 1602500000 Prepared or preserved meat, meat offal or blood of bovine animals 1602900000 Other, including preparations of blood of any animal 1702200000 Maple sugar and maple syrup 1702309000 Glucose, not containing fructose or containing in the dry state less than 20% by weight of fructose 1702901000 Artificial honey, whether or not mixed with natural honey 1702903000 Sugars containing added flavouring or colouring matter, containing in the dry state 50% by weight of fructose 1702904000 Other syrup containing in the dry state 50% by weight of fructose 1704101000 Chewing gum, sugar-coated 1704901000 Boiled sweets, pastilles and similar sugar confectionery 1704909000 Other sugar confectionery (including white chocolate), not containing cocoa 1806310000 Preparations in blocks, slabs or bars, other than those weighing more than 2 kg, or in liquid, paste, powder, granular or other bulk form in containers or immediate packings of a content exceeding 2 kg, filled 1806320000 Preparations in blocks, slabs or bars, other than those weighing more than 2 kg, or in liquid, paste, powder, granular or other bulk form in containers or immediate packings of a content exceeding 2 kg, not filled 1901909000 Food preparations of flour, groats, meal, starch or malt extract, not containing cocoa or containing less than 40% by weight of cocoa calculated on a totally defatted basis, not elsewhere specified or included; food preparations of goods of headings 04.01 to 04.04, not containing cocoa or containing less than 5% by weight of cocoa calculated on a totally defatted basis, not elsewhere specified or included 1902200000 Stuffed pasta, whether or not cooked or otherwise prepared 1904200000 Prepared foods obtained from unroasted cereal flakes or from mixtures of unroasted cereal flakes and roasted cereal flakes or swelled cereals G/TBT/N/PER/162 - 4 -   1904900000 Cereals (other than maize (corn)) in grain form or in the form of flakes or other worked grains (except flour, groats and meal), pre-cooked, or otherwise prepared, not elsewhere specified or included 1905100000 Crispbread (also known as knäckebrot) 1905200000 Gingerbread and the like 1905310000 Sweet biscuits 1905400000 Rusks, toasted bread and similar toasted products 1905901000 Salted or flavoured biscuits 1905909000 Other bread, pastry, cakes, biscuits and other bakers' wares, whether or not containing cocoa; communion wafers, empty cachets of a kind suitable for pharmaceutical use, sealing wafers, rice paper and similar products 2005200000 Potatoes, prepared or preserved otherwise than by vinegar or acetic acid, not frozen 2005590000 Other beans (Vigna spp., Phaseolus spp.) prepared or preserved otherwise than by vinegar or acetic acid, not frozen 2005600000 Asparagus, prepared or preserved otherwise than by vinegar or acetic acid, not frozen 2005700000 Olives, prepared or preserved otherwise than by vinegar or acetic acid, not frozen 2005800000 Sweet corn (Zea mays var. saccharata), prepared or preserved otherwise than by vinegar or acetic acid, not frozen 2005991000 Artichokes, prepared or preserved otherwise than by vinegar or acetic acid, not frozen 2005992000 Paprika (Capsicum annuum), prepared or preserved otherwise than by vinegar or acetic acid, not frozen 2005999000 Other vegetables and mixtures of vegetables, prepared or preserved otherwise than by vinegar or acetic acid, not frozen 2006000000 Vegetables, fruit, nuts, fruit-peel and other parts of plants, preserved by sugar (drained, glacé or crystallised) 2007911000 Jams, fruit jellies and marmalades of citrus fruit, obtained by cooking, whether or not containing added sugar or other sweetening matter 2007991100 Jams, fruit jellies and marmalades of pineapple, obtained by cooking, whether or not containing added sugar or other sweetening matter G/TBT/N/PER/162 - 5 -   2007999100 Jams, fruit jellies and marmalades of other fruits or nuts, obtained by cooking, whether or not containing added sugar or other sweetening matter 2103100000 Soya sauce 2103200000 Tomato ketchup and other tomato sauces 2103302000 Prepared mustard 2103901000 Mayonnaise 2103902000 Mixed condiments and mixed seasonings 2103909000 Other sauces and preparations therefor 2104101000 Preparations for soups and broths 2104102000 Soups and broths 2104200000 Homogenized composite food preparations 2105001000 Ice cream not containing milk or dairy products 2105009000 Other ice cream and other edible ice, whether or not containing cocoa 2106901000 Powders for table creams, jellies, ice creams, or similar preparations 2106906000 Sweetening preparations made using synthetic or artificial substances 2106907900 Other food supplements 2106908000 Formula, other than milk formula, for infants up to 12 months old 2106909000 Breast-milk substitutes 2106909000 Food supplements for infants and young children 2202100000 Waters, including mineral waters and aerated waters, containing added sugar or other sweetening matter or flavoured 2202900000 Other non-alcoholic beverages, not including fruit or vegetable juices of heading 20.09</t>
  </si>
  <si>
    <t>0209 - Pig fat, free of lean meat, and poultry fat, not rendered or otherwise extracted, fresh, chilled, frozen, salted, in brine, dried or smoked; 190220 - Pasta, stuffed with meat or other substances, whether or not cooked or otherwise prepared; 190420 - Prepared foods obtained from unroasted cereal flakes or from mixtures of unroasted cereal flakes and roasted cereal flakes or swelled cereals; 190490 - Cereals (excl. maize [corn]) in grain or flake form or other worked grains, pre-cooked or otherwise prepared, n.e.s. (excl. flour, groats and meal, food preparations obtained by swelling or roasting or from unroasted cereal flakes or from mixtures of unroasted cereal flakes and roasted cereal flakes or swelled cereals and bulgur wheat); 190510 - Crispbread; 190520 - Gingerbread and the like, whether or not containing cocoa; 190531 - Sweet biscuits; 190540 - Rusks, toasted bread and similar toasted products; 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200520 - Potatoes, prepared or preserved otherwise than by vinegar or acetic acid (excl. frozen); 200559 - Unshelled beans "Vigna spp., Phaseolus spp.", prepared or preserved otherwise than by vinegar or acetic acid (excl. frozen); 200560 - Asparagus, prepared or preserved otherwise than by vinegar or acetic acid (excl. frozen); 200570 - Olives, prepared or preserved otherwise than by vinegar or acetic acid (excl. frozen); 200580 - Sweetcorn "Zea Mays var. Saccharata", prepared or preserved otherwise than by vinegar or acetic acid (excl. frozen); 200599 - 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 2006 - Vegetables, fruit, nuts, fruit-peel and other parts of plants, preserved by sugar (drained, glacé or crystallised).; 200791 - Citrus fruit jams, jellies, marmalades, purées or pastes, obtained by cooking, whether or not containing added sugar or other sweetening matter (excl. homogenised preparations of subheading 2007.10); 200799 - Jams, jellies, marmalades, purées or pastes of fruit, obtained by cooking, whether or not containing added sugar or other sweetening matter (excl. citrus fruit and homogenised preparations of subheading 2007.10); 2009 - Fruit juices, incl. grape must, and vegetable juices, unfermented, not containing added spirit, whether or not containing added sugar or other sweetening matter; 2103 - Sauce and preparations therefor; mixed condiments and mixed seasonings; mustard flour and meal, whether or not prepared, and mustard; 210310 - Soya sauce; 210320 - Tomato ketchup and other tomato sauces; 210330 - Mustard flour and meal, whether or not prepared, and mustard; 210390 - Preparations for sauces and prepared sauces; mixed condiments and seasonings (excl. soya sauce, tomato ketchup and other tomato sauces, mustard, and mustard flour and meal); 210410 - Soups and broths and preparations therefor; 210420 - Food preparations consisting of finely homogenised mixtures of two or more basic ingredients, such as meat, fish, vegetables or fruit, put up for retail sale as infant food or for dietetic purposes, in containers of &lt;= 250 g; 2105 - Ice cream and other edible ice, whether or not containing cocoa.; 210690 - Food preparations, n.e.s.; 190190 - Malt extract; food preparations of flour, groats, meal, starch or malt extract, not containing cocoa or containing &lt; 40% by weight of cocoa calculated on a totally defatted basis, n.e.s. and food preparations of milk, cream, butter milk, sour milk, sour cream, whey, yogurt, kephir or similar goods of heading 0401 to 0404, not containing cocoa or containing &lt; 5% by weight of cocoa calculated on a totally defatted basis, n.e.s. (excl. for infant use, put up for retail sale, and mixes and doughs for the preparation of bakers' wares of heading 1905); 180632 - Chocolate and other preparations containing cocoa, in blocks, slabs or bars of &lt;= 2 kg (excl. filled); 180631 - Chocolate and other preparations containing cocoa, in blocks, slabs or bars of &lt;= 2 kg, filled; 1806 - Chocolate and other food preparations containing cocoa;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0401 - Milk and cream, not concentrated nor containing added sugar or other sweetening matter; 0402 - Milk and cream, concentrated or containing added sugar or other sweetening matter; 040299 - Milk and cream, concentrated and sweetened (excl. in solid forms);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0405 - Butter, incl. dehydrated butter and ghee, and other fats and oils derived from milk; dairy spreads; 040590 - Fats and oils derived from milk, and dehydrated butter and ghee (excl. natural butter, recombined butter and whey butter); 0406 - Cheese and curd; 040690 - Cheese (excl. fresh cheese, incl. whey cheese, curd, processed cheese, blue-veined cheese and other cheese containing veins produced by "Penicillium roqueforti", and grated or powdered cheese); 0802 - Other nuts, fresh or dried, whether or not shelled or peeled (excl. coconuts, Brazil nuts and cashew nuts); 151710 - Margarine (excl. liquid); 151790 - Edible mixtures or preparations of animal or vegetable fats or oils and edible fractions of different fats or oils (excl. fats, oils and their fractions, partly or wholly hydrogenated, inter-esterified, re-esterified or elaidinised, whether or not refined, but not further prepared, mixtures of olive oils and their fractions, and solid margarine); 220210 - Waters, incl. mineral and aerated, with added sugar, sweetener or flavour, for direct consumption as a beverage; 1601 - Sausages and similar products, of meat, meat offal, blood or insects; food preparations based on these products.; 160220 - Preparations of liver of any animal (excl. sausages and similar products and finely homogenised preparations put up for retail sale as infant food or for dietetic purposes, in containers of a net weight of &lt;= 250 g); 160232 - Meat or offal of fowls of the species "Gallus domesticus", prepared or preserved (excl. sausages and similar products, finely homogenised preparations put up for retail sale as infant food or for dietetic purposes, in containers of a net weight of &lt;= 250 g, preparations of liver and meat extracts and juices); 160239 - Prepared or preserved meat or meat offal of ducks, geese and guinea fowl of the species domesticus (excl. sausages and similar products, finely homogenised preparations put up for retail sale as infant food or for dietetic purposes, in containers of a net weight of &lt;= 250 g, preparations of liver and meat extracts and juices); 160250 - Prepared or preserved meat or offal of bovine animals (excl. sausages and similar products, finely homogenised preparations put up for retail sale as infant food or for dietetic purposes, in containers of a net weight of &lt;= 250 g, preparations of liver and meat extracts and juices); 160290 - Prepared or preserved meat, offal, blood or insects (excl. meat or offal of poultry, swine and bovine animals, sausages and similar products, finely homogenised preparations put up for retail sale as infant food or for dietetic purposes, in containers of a net weight of &lt;= 250 g, preparations of liver and meat extracts and juices); 1604 - Prepared or preserved fish; caviar and caviar substitutes prepared from fish eggs; 1701 - Cane or beet sugar and chemically pure sucrose, in solid form; 170220 - Maple sugar, in solid form, and maple syrup (excl. flavoured or coloured); 170230 - Glucose in solid form and glucose syrup, not containing added flavouring or colouring matter and not containing fructose or containing in the dry state, &lt; 20% by weight of fructose; 170290 - 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 1704 - Sugar confectionery not containing cocoa, incl. white chocolate; 170410 - Chewing gum, whether or not sugar-coated; 170490 - Sugar confectionery not containing cocoa, incl. white chocolate (excl. chewing gum); 160210 - Homogenised prepared meat, offal, blood or insects, put up for retail sale as infant food or for dietetic purposes, in containers of &lt;= 250 g; 22029 - - Other:; 190520 - Gingerbread and the like, whether or not containing cocoa; 0307 - Molluscs, fit for human consumption, even smoked, whether in shell or not, live, fresh, chilled, frozen, dried, salted or in brine; 0401 - Milk and cream, not concentrated nor containing added sugar or other sweetening matter; 0402 - Milk and cream, concentrated or containing added sugar or other sweetening matter; 040299 - Milk and cream, concentrated and sweetened (excl. in solid forms);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0405 - Butter, incl. dehydrated butter and ghee, and other fats and oils derived from milk; dairy spreads; 040590 - Fats and oils derived from milk, and dehydrated butter and ghee (excl. natural butter, recombined butter and whey butter); 0406 - Cheese and curd; 040690 - Cheese (excl. fresh cheese, incl. whey cheese, curd, processed cheese, blue-veined cheese and other cheese containing veins produced by "Penicillium roqueforti", and grated or powdered cheese); 0802 - Other nuts, fresh or dried, whether or not shelled or peeled (excl. coconuts, Brazil nuts and cashew nuts); 151710 - Margarine (excl. liquid); 151790 - Edible mixtures or preparations of animal or vegetable fats or oils and edible fractions of different fats or oils (excl. fats, oils and their fractions, partly or wholly hydrogenated, inter-esterified, re-esterified or elaidinised, whether or not refined, but not further prepared, mixtures of olive oils and their fractions, and solid margarine); 220210 - Waters, incl. mineral and aerated, with added sugar, sweetener or flavour, for direct consumption as a beverage; 1601 - Sausages and similar products, of meat, meat offal, blood or insects; food preparations based on these products.; 160220 - Preparations of liver of any animal (excl. sausages and similar products and finely homogenised preparations put up for retail sale as infant food or for dietetic purposes, in containers of a net weight of &lt;= 250 g); 160232 - Meat or offal of fowls of the species "Gallus domesticus", prepared or preserved (excl. sausages and similar products, finely homogenised preparations put up for retail sale as infant food or for dietetic purposes, in containers of a net weight of &lt;= 250 g, preparations of liver and meat extracts and juices); 160239 - Prepared or preserved meat or meat offal of ducks, geese and guinea fowl of the species domesticus (excl. sausages and similar products, finely homogenised preparations put up for retail sale as infant food or for dietetic purposes, in containers of a net weight of &lt;= 250 g, preparations of liver and meat extracts and juices); 160250 - Prepared or preserved meat or offal of bovine animals (excl. sausages and similar products, finely homogenised preparations put up for retail sale as infant food or for dietetic purposes, in containers of a net weight of &lt;= 250 g, preparations of liver and meat extracts and juices); 160290 - Prepared or preserved meat, offal, blood or insects (excl. meat or offal of poultry, swine and bovine animals, sausages and similar products, finely homogenised preparations put up for retail sale as infant food or for dietetic purposes, in containers of a net weight of &lt;= 250 g, preparations of liver and meat extracts and juices); 1604 - Prepared or preserved fish; caviar and caviar substitutes prepared from fish eggs; 1701 - Cane or beet sugar and chemically pure sucrose, in solid form; 170220 - Maple sugar, in solid form, and maple syrup (excl. flavoured or coloured); 170230 - Glucose in solid form and glucose syrup, not containing added flavouring or colouring matter and not containing fructose or containing in the dry state, &lt; 20% by weight of fructose; 170290 - 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 1704 - Sugar confectionery not containing cocoa, incl. white chocolate; 170410 - Chewing gum, whether or not sugar-coated; 170490 - Sugar confectionery not containing cocoa, incl. white chocolate (excl. chewing gum); 0306 - Crustaceans, whether in shell or not, live, fresh, chilled, frozen, dried, salted or in brine, even smoked, incl. crustaceans in shell cooked by steaming or by boiling in water; 1806 - Chocolate and other food preparations containing cocoa; 180631 - Chocolate and other preparations containing cocoa, in blocks, slabs or bars of &lt;= 2 kg, filled; 180632 - Chocolate and other preparations containing cocoa, in blocks, slabs or bars of &lt;= 2 kg (excl. filled); 190510 - Crispbread; 190490 - Cereals (excl. maize [corn]) in grain or flake form or other worked grains, pre-cooked or otherwise prepared, n.e.s. (excl. flour, groats and meal, food preparations obtained by swelling or roasting or from unroasted cereal flakes or from mixtures of unroasted cereal flakes and roasted cereal flakes or swelled cereals and bulgur wheat); 190420 - Prepared foods obtained from unroasted cereal flakes or from mixtures of unroasted cereal flakes and roasted cereal flakes or swelled cereals; 190220 - Pasta, stuffed with meat or other substances, whether or not cooked or otherwise prepared; 0209 - Pig fat, free of lean meat, and poultry fat, not rendered or otherwise extracted, fresh, chilled, frozen, salted, in brine, dried or smoked; 190531 - Sweet biscuits; 190540 - Rusks, toasted bread and similar toasted products; 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200520 - Potatoes, prepared or preserved otherwise than by vinegar or acetic acid (excl. frozen); 200559 - Unshelled beans "Vigna spp., Phaseolus spp.", prepared or preserved otherwise than by vinegar or acetic acid (excl. frozen); 200560 - Asparagus, prepared or preserved otherwise than by vinegar or acetic acid (excl. frozen); 200570 - Olives, prepared or preserved otherwise than by vinegar or acetic acid (excl. frozen); 200580 - Sweetcorn "Zea Mays var. Saccharata", prepared or preserved otherwise than by vinegar or acetic acid (excl. frozen); 160210 - Homogenised prepared meat, offal, blood or insects, put up for retail sale as infant food or for dietetic purposes, in containers of &lt;= 250 g; 200599 - 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 200791 - Citrus fruit jams, jellies, marmalades, purées or pastes, obtained by cooking, whether or not containing added sugar or other sweetening matter (excl. homogenised preparations of subheading 2007.10); 200799 - Jams, jellies, marmalades, purées or pastes of fruit, obtained by cooking, whether or not containing added sugar or other sweetening matter (excl. citrus fruit and homogenised preparations of subheading 2007.10); 2009 - Fruit juices, incl. grape must, and vegetable juices, unfermented, not containing added spirit, whether or not containing added sugar or other sweetening matter; 2103 - Sauce and preparations therefor; mixed condiments and mixed seasonings; mustard flour and meal, whether or not prepared, and mustard; 210310 - Soya sauce; 210320 - Tomato ketchup and other tomato sauces; 210330 - Mustard flour and meal, whether or not prepared, and mustard; 210390 - Preparations for sauces and prepared sauces; mixed condiments and seasonings (excl. soya sauce, tomato ketchup and other tomato sauces, mustard, and mustard flour and meal); 210410 - Soups and broths and preparations therefor; 210420 - Food preparations consisting of finely homogenised mixtures of two or more basic ingredients, such as meat, fish, vegetables or fruit, put up for retail sale as infant food or for dietetic purposes, in containers of &lt;= 250 g; 2105 - Ice cream and other edible ice, whether or not containing cocoa.; 210690 - Food preparations, n.e.s.; 190190 - Malt extract; food preparations of flour, groats, meal, starch or malt extract, not containing cocoa or containing &lt; 40% by weight of cocoa calculated on a totally defatted basis, n.e.s. and food preparations of milk, cream, butter milk, sour milk, sour cream, whey, yogurt, kephir or similar goods of heading 0401 to 0404, not containing cocoa or containing &lt; 5% by weight of cocoa calculated on a totally defatted basis, n.e.s. (excl. for infant use, put up for retail sale, and mixes and doughs for the preparation of bakers' wares of heading 1905); 2006 - Vegetables, fruit, nuts, fruit-peel and other parts of plants, preserved by sugar (drained, glacé or crystallised).; 22029 - - Other:</t>
  </si>
  <si>
    <d:r xmlns:d="http://schemas.openxmlformats.org/spreadsheetml/2006/main">
      <d:rPr>
        <d:sz val="11"/>
        <d:rFont val="Calibri"/>
      </d:rPr>
      <d:t xml:space="preserve">https://members.wto.org/crnattachments/2024/TBT/PER/final_measure/24_08162_00_s.pdf
https://members.wto.org/crnattachments/2024/TBT/PER/final_measure/24_08162_01_s.pdf</d:t>
    </d:r>
  </si>
  <si>
    <t>Significant New Use Rules on Certain Chemical Substances (24-2.5e)</t>
  </si>
  <si>
    <t xml:space="preserve">Proposed rule - EPA is proposing significant new use rules (SNURs) under the 
Toxic Substances Control Act (TSCA) for certain chemical substances 
that were the subject of premanufacture notices (PMNs) and are also 
subject to an Order issued by EPA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the conditions of that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determination.&gt;_x000D_
</t>
  </si>
  <si>
    <d:r xmlns:d="http://schemas.openxmlformats.org/spreadsheetml/2006/main">
      <d:rPr>
        <d:sz val="11"/>
        <d:rFont val="Calibri"/>
      </d:rPr>
      <d:t xml:space="preserve">https://members.wto.org/crnattachments/2024/TBT/USA/24_08146_00_e.pdf</d:t>
    </d:r>
  </si>
  <si>
    <t>Draft of Egyptian standard " wet wipes for cleaning and/or disinfecting surfaces</t>
  </si>
  <si>
    <t>This draft of Egyptian standard which specifies The requirements that must be met in wet wipes used for cleaning and/or disinfection of domestic and non-domestic surfaces and public places.This standard does not apply to wipes impregnated with insecticides for the purpose of repelling insects.Worth mentioning is that this draft standard complies with the following :Regulation(EC) no 648/2004.Regulation(EC) no 1907/2006.Regulation(EC) no 1272/2008.OEKO - TEX STANDARD 100.ES 4106.ES 6910.</t>
  </si>
  <si>
    <t>Phytosanitary import requirements for brown and oriental mustard (Brassica juncea) seeds originating in and coming from the United States of America The final phytosanitary requirements for the importation into Mexico of brown and oriental mustard (Brassica juncea) seeds for consumption and/or industrial use, originating in and coming from the United States of America, are hereby notified. The final measure can be viewed using combination key (clave de combinación) 2269-112-4616-USA-USA at: https://sistemasssl.senasica.gob.mx/mcrfi. https://members.wto.org/crnattachments/2024/SPS/MEX/24_08158_00_s.pdf</t>
  </si>
  <si>
    <t>Brown and oriental mustard (Brassica juncea) seeds</t>
  </si>
  <si>
    <t>120750 - Mustard seeds, whether or not broken; 120750 - Mustard seeds, whether or not broken</t>
  </si>
  <si>
    <t>Adoption/publication/entry into force of reg.; Human health; Plant health; Food safety; Pests; Territory protection; Pests; Territory protection; Food safety; Plant health; Human health</t>
  </si>
  <si>
    <d:r xmlns:d="http://schemas.openxmlformats.org/spreadsheetml/2006/main">
      <d:rPr>
        <d:sz val="11"/>
        <d:rFont val="Calibri"/>
      </d:rPr>
      <d:t xml:space="preserve">https://members.wto.org/crnattachments/2024/SPS/MEX/24_08158_00_s.pdf
La medida definitiva puede consultarse bajo la clave de combinación 2269-112-4616-USA-USA en el siguiente enlace: https://sistemasssl.senasica.gob.mx/mcrfi.</d:t>
    </d:r>
  </si>
  <si>
    <t>ORDINANCE SDA/MAPA No. 1.193 of 8 November 2024</t>
  </si>
  <si>
    <t>Establishes the phytosanitary requirements for the import of okra (Abelmoschus esculentus) seeds (Category 4) of any origin.</t>
  </si>
  <si>
    <t>Okra seeds (Abelmoschus esculentus</t>
  </si>
  <si>
    <t>120991 - Vegetable seeds, for sowing; 120991 - Vegetable seeds, for sowing</t>
  </si>
  <si>
    <t>Adoption/publication/entry into force of reg.; Plant health; Seeds; Territory protection; Withdrawal of the measure; Territory protection; Seeds; Plant health</t>
  </si>
  <si>
    <d:r xmlns:d="http://schemas.openxmlformats.org/spreadsheetml/2006/main">
      <d:rPr>
        <d:sz val="11"/>
        <d:rFont val="Calibri"/>
      </d:rPr>
      <d:t xml:space="preserve">https://members.wto.org/crnattachments/2024/SPS/BRA/24_08150_00_x.pdf
https://www.in.gov.br/web/dou/-/portaria-sda/mapa-n-1.193-de-8-de-novembro-de-2024-595411970</d:t>
    </d:r>
  </si>
  <si>
    <t>Amendment to the Ministry for Primary Industries (MPI) Import health standard 155.02.06: Importation of Nursery Stock</t>
  </si>
  <si>
    <t>MPI has issued an amended import health standard 155.02.06: Importation of Nursery Stock, effective 28 November 2024. The amendments include: Remove the measures for Hoya undetermined tobamoviruses (pre-determined testing in post-entry quarantine). Remove Hoya undetermined tobamoviruses as a quarantine pest in the Hoya schedule of the Nursery Stock standard. Add phytosanitary measures for the management of Orthotospovirus alstroemerinecrosis (Alstroemeria necrotic streak virus (ANSV)) and Orthotospovirus tomatoflav (Tomato chlorotic spot virus (TCSV)) on Hoya plant hosts, including options for off-shore and on-shore management.</t>
  </si>
  <si>
    <t>Nursery stock (whole plants, cuttings and tissue cultures) eligible for import to New Zealand of the Hoya genus</t>
  </si>
  <si>
    <t>0601 - Bulbs, tubers, tuberous roots, corms, crowns and rhizomes, dormant, in growth or in flower, chicory plants and roots (excl. bulbs, tubers and tuberous roots used for human consumption and chicory roots of the variety cichorium intybus sativum); 0602 - Live plants incl. their roots, cuttings and slips; mushroom spawn (excl. bulbs, tubers, tuberous roots, corms, crowns and rhizomes, and chicory plants and roots); 0601 - Bulbs, tubers, tuberous roots, corms, crowns and rhizomes, dormant, in growth or in flower, chicory plants and roots (excl. bulbs, tubers and tuberous roots used for human consumption and chicory roots of the variety cichorium intybus sativum); 0602 - Live plants incl. their roots, cuttings and slips; mushroom spawn (excl. bulbs, tubers, tuberous roots, corms, crowns and rhizomes, and chicory plants and roots)</t>
  </si>
  <si>
    <t>Plant health; Plant diseases; Pests; Change in date of adoption/publication/entry into force; Plant diseases; Pests; Plant health</t>
  </si>
  <si>
    <d:r xmlns:d="http://schemas.openxmlformats.org/spreadsheetml/2006/main">
      <d:rPr>
        <d:sz val="11"/>
        <d:rFont val="Calibri"/>
      </d:rPr>
      <d:t xml:space="preserve">https://members.wto.org/crnattachments/2024/SPS/NZL/24_08149_00_e.pdf</d:t>
    </d:r>
  </si>
  <si>
    <t>Ordinance SDA/MAPA No. 1.195 of 12 November 2024.  Establishes the phytosanitary requirements for the import of fresh citrus fruit (Citrus spp.) (Category 3) produced in the Republic of Peru</t>
  </si>
  <si>
    <t>Ordinance SDA/MAPA No. 1.195 of 12 November 2024.  Establishes the phytosanitary requirements for the import of fresh citrus fruit (Citrus spp.) (Category 3) produced in the Republic of Peru and repeals the Normative Instruction SDA/MAPA No.  29 of 11 December 2015.</t>
  </si>
  <si>
    <t>Citrus (Citrus spp</t>
  </si>
  <si>
    <t>0805 - Citrus fruit, fresh or dried</t>
  </si>
  <si>
    <d:r xmlns:d="http://schemas.openxmlformats.org/spreadsheetml/2006/main">
      <d:rPr>
        <d:sz val="11"/>
        <d:rFont val="Calibri"/>
      </d:rPr>
      <d:t xml:space="preserve">https://members.wto.org/crnattachments/2024/SPS/BRA/24_08151_00_x.pdf
https://www.in.gov.br/web/dou/-/portaria-sda/mapa-n-1.195-de-12-de-novembro-de-2024-596249765</d:t>
    </d:r>
  </si>
  <si>
    <t>Draft Order of the Ministry of Agrarian Policy and Food of Ukraine “On Approval of the Requirements for Olive Oils and Establishment of Rules on Conformity Checks of Marketing Standards and Methods of Analysis of the Characteristics of Olive Oil” </t>
  </si>
  <si>
    <t>The draft Order provides for the approval of the Requirements for olive oils and establishment of rules on conformity checks of marketing standards and methods of analysis of the characteristics of olive oil, which set forth rules for certain characteristics of olive oils, requirements for sale to the final consumer (whether in natural form, as blends, or within food products), labelling requirements, rules on conformity checks, record-keeping obligations for market operators engaged in the production or storage of olive oils, rules on methods of analysis for olive oils characteristics, cooperation and assistance between competent authorities regarding conformity checks and packaging.These Requirements are based on Commission Delegated Regulation (EU) 2022/2104 of 29 July 2022 supplementing Regulation (EU) No 1308/2013 of the European Parliament and of the Council as regards marketing standards for olive oil, and repealing Commission Regulation (EEC) No 2568/91 and Commission Implementing Regulation (EU) No 29/2012 and Commission Implementing Regulation (EU) 2022/2105 of 29 July 2022 laying down rules on conformity checks of marketing standards for olive oil and methods of analysis of the characteristics of olive oil.</t>
  </si>
  <si>
    <t>Olive oil and its fractions obtained from the fruit of the olive tree solely by mechanical or other physical means under conditions that do not lead to deterioration of the oil, whether or not refined, but not chemically modified (HS code(s): 1509); Other oils and their fractions, obtained solely from olives, whether or not refined, but not chemically modified, incl. blends of these oils or fractions with oils or fractions of heading 1509 (HS code(s): 1510)</t>
  </si>
  <si>
    <t>1509 - Olive oil and its fractions obtained from the fruit of the olive tree solely by mechanical or other physical means under conditions that do not lead to deterioration of the oil, whether or not refined, but not chemically modified; 1510 - Other oils and their fractions, obtained solely from olives, whether or not refined, but not chemically modified, incl. blends of these oils or fractions with oils or fractions of heading 1509</t>
  </si>
  <si>
    <t>Consumer information, labelling (TBT); Prevention of deceptive practices and consumer protection (TBT); Quality requirements (TBT); Harmonization (TBT)</t>
  </si>
  <si>
    <d:r xmlns:d="http://schemas.openxmlformats.org/spreadsheetml/2006/main">
      <d:rPr>
        <d:sz val="11"/>
        <d:rFont val="Calibri"/>
      </d:rPr>
      <d:t xml:space="preserve">https://members.wto.org/crnattachments/2024/TBT/UKR/24_08132_00_e.pdf
https://members.wto.org/crnattachments/2024/TBT/UKR/24_08132_01_e.pdf
https://members.wto.org/crnattachments/2024/TBT/UKR/24_08132_00_x.pdf
https://members.wto.org/crnattachments/2024/TBT/UKR/24_08132_01_x.pdf
https://members.wto.org/crnattachments/2024/TBT/UKR/24_08132_02_x.pdf
https://members.wto.org/crnattachments/2024/TBT/UKR/24_08132_03_x.pdf
https://members.wto.org/crnattachments/2024/TBT/UKR/24_08132_04_x.pdf
https://members.wto.org/crnattachments/2024/TBT/UKR/24_08132_05_x.pdf
https://members.wto.org/crnattachments/2024/TBT/UKR/24_08132_06_x.pdf
https://members.wto.org/crnattachments/2024/TBT/UKR/24_08132_07_x.pdf
https://members.wto.org/crnattachments/2024/TBT/UKR/24_08132_08_x.pdf</d:t>
    </d:r>
  </si>
  <si>
    <t>Draft Resolution 1292, 28 November 2024</t>
  </si>
  <si>
    <t>This draft resolution contains provisions on the "List of Pesticides Selected for Analysis in Herbal Medicines".This draft resolution will also be notified to the TBT committee.</t>
  </si>
  <si>
    <t>Pharmaceutics (ICS code(s): 11.120)</t>
  </si>
  <si>
    <d:r xmlns:d="http://schemas.openxmlformats.org/spreadsheetml/2006/main">
      <d:rPr>
        <d:sz val="11"/>
        <d:rFont val="Calibri"/>
      </d:rPr>
      <d:t xml:space="preserve">https://members.wto.org/crnattachments/2024/SPS/BRA/24_08136_00_x.pdf
Draft: https://antigo.anvisa.gov.br/documents/10181/6923701/CONSULTA+PUBLICA+N%C2%BA+1292+GMESP.pdf/e9b2bbc1-3cc6-4311-a521-83232ec7c75b
Comment form:  http://pesquisa.anvisa.gov.br/index.php/242717?lang=pt-BR</d:t>
    </d:r>
  </si>
  <si>
    <t>RTM 17-1-015 REGLAMENTO TÉCNICO METROLÓGICO - ESFIGMOMANÓMETROS NO INVASIVOS NO AUTOMATIZADOS - REQUISITOS METROLÓGICOS Y TÉCNICOS (Metrological Technical Regulation (RTM) No. 17-1-015 - Non-automated non-invasive sphygmomanometers - Metrological and technical requirements) (20 pages, in Spanish)</t>
  </si>
  <si>
    <t>This document establishes requirements, metrological controls and penalties</t>
  </si>
  <si>
    <t>OPTICAL, PHOTOGRAPHIC, CINEMATOGRAPHIC, MEASURING, CHECKING, PRECISION, MEDICAL OR SURGICAL INSTRUMENTS AND APPARATUS; PARTS AND ACCESSORIES THEREOF (HS code(s): 90); HEALTH CARE TECHNOLOGY (ICS code(s): 11); METROLOGY AND MEASUREMENTS. PHYSICAL PHENOMENA (ICS code(s): 17)</t>
  </si>
  <si>
    <t>90 - OPTICAL, PHOTOGRAPHIC, CINEMATOGRAPHIC, MEASURING, CHECKING, PRECISION, MEDICAL OR SURGICAL INSTRUMENTS AND APPARATUS; PARTS AND ACCESSORIES THEREOF</t>
  </si>
  <si>
    <t>11 - Health care technology; 17 - Metrology and measurement. Physical phenomena</t>
  </si>
  <si>
    <t>Prevention of deceptive practices and consumer protection (TBT); Protection of human health or safety (TBT); Reducing trade barriers and facilitating trade (TBT)</t>
  </si>
  <si>
    <d:r xmlns:d="http://schemas.openxmlformats.org/spreadsheetml/2006/main">
      <d:rPr>
        <d:sz val="11"/>
        <d:rFont val="Calibri"/>
      </d:rPr>
      <d:t xml:space="preserve">https://members.wto.org/crnattachments/2024/TBT/DOM/24_08134_00_s.pdf</d:t>
    </d:r>
  </si>
  <si>
    <t>This Draft Uganda Standard applies to shoots of commercial varieties of asparagus grown from Asparagus officinalis L to be supplied fresh to the consumer Asparagus for industrial processing is excluded. Asparagus shoots is classified into four groups according to colour: (a) white asparagus; (b) violet asparagus, having tips of a colour between pink and violet or purple and part of the shoot white; (c) violet/green asparagus, part of which is of violet and green colouring; (d) green asparagus having tips and most of the shoot green.</t>
  </si>
  <si>
    <d:r xmlns:d="http://schemas.openxmlformats.org/spreadsheetml/2006/main">
      <d:rPr>
        <d:sz val="11"/>
        <d:rFont val="Calibri"/>
      </d:rPr>
      <d:t xml:space="preserve">https://members.wto.org/crnattachments/2024/TBT/UGA/24_08127_00_e.pdf</d:t>
    </d:r>
  </si>
  <si>
    <t>DARS 943:2024, Fresh collard greens or broccoli greens — Specification, First edition</t>
  </si>
  <si>
    <t>This Draft Uganda Standard applies to collard greens or broccoli greens, or mixtures of the two which may consist of leaves, or parts of leaves, plants or mixtures of leaves and plants, grown from Brassica oleracea subsp. (var.) botrytis; subgroup cymosa (italica) (broccoli) and Brassica oleracea subsp. (var.) acephala; subgroup laciniata, intended for human consumption.</t>
  </si>
  <si>
    <t>Fresh or chilled cauliflowers and broccoli (HS code(s): 070410); Vegetables and derived products (ICS code(s): 67.080.20)</t>
  </si>
  <si>
    <t>Consumer information, labelling (TBT); Protection of human health or safety (TBT); Quality requirements (TBT); Harmonization (TBT); Reducing trade barriers and facilitating trade (TBT)</t>
  </si>
  <si>
    <d:r xmlns:d="http://schemas.openxmlformats.org/spreadsheetml/2006/main">
      <d:rPr>
        <d:sz val="11"/>
        <d:rFont val="Calibri"/>
      </d:rPr>
      <d:t xml:space="preserve">https://members.wto.org/crnattachments/2024/TBT/UGA/24_08130_00_e.pdf</d:t>
    </d:r>
  </si>
  <si>
    <t>DUS DARS 931:2024, Fresh onions and shallots — Specifications,  First edition</t>
  </si>
  <si>
    <t>This Draft Uganda Standard applies to onion bulbs of varieties grown from Allium cepa L. Cepa group and shallot bulbs grown from Allium cepa Aggregatum group and grey shallots grown from Allium oschaninii O Fedtsch, to be supplied fresh to the consumer. Green onions and green shallots with full leaves as well as onions and shallots intended for industrial processing are excluded. Onions and shallots may be of the following shapes: round, oval/elongated, long or demi-long. Onions and shallots shall have skin colour characteristics of the variety, including white, purple, cream, pink, red, grey, yellow, or brown.</t>
  </si>
  <si>
    <d:r xmlns:d="http://schemas.openxmlformats.org/spreadsheetml/2006/main">
      <d:rPr>
        <d:sz val="11"/>
        <d:rFont val="Calibri"/>
      </d:rPr>
      <d:t xml:space="preserve">https://members.wto.org/crnattachments/2024/TBT/UGA/24_08128_00_e.pdf</d:t>
    </d:r>
  </si>
  <si>
    <t>National standard of the P.R.C., Limits and measurement methods for emissions from motorcycles and mopeds (CHINA Ⅴ)</t>
  </si>
  <si>
    <t xml:space="preserve">The standard establishes the limits and measurement methods of exhaust emissions and evaporative emissions from motorcycles and mopeds (CHINA Ⅴ), and the requirements for crankcase pollutant emissions, the durability requirements for pollution control devices and technical requirements for On-Board Diagnostics (OBD) systems._x000D_
The standard also establishes the requirements for type inspection and inspection and determination methods of production conformance and in-service conformity of motorcycles and mopeds.</t>
  </si>
  <si>
    <t>Motorcycles and mopeds (HS code(s): 8711); (ICS code(s): 13.040.50)</t>
  </si>
  <si>
    <t>8711 - Motorcycles, incl. mopeds, and cycles fitted with an auxiliary motor, with or without side-cars; side-cars</t>
  </si>
  <si>
    <t>13.040.50 - Transport exhaust emissions</t>
  </si>
  <si>
    <d:r xmlns:d="http://schemas.openxmlformats.org/spreadsheetml/2006/main">
      <d:rPr>
        <d:sz val="11"/>
        <d:rFont val="Calibri"/>
      </d:rPr>
      <d:t xml:space="preserve">https://members.wto.org/crnattachments/2024/TBT/CHN/24_08131_00_x.pdf</d:t>
    </d:r>
  </si>
  <si>
    <t>Evaluación de la conformidad. Declaración de conformidad del proveedor. Requisitos generales (Conformity assessment. Supplier's declaration of conformity. General requirements) (11 pages, in Spanish)</t>
  </si>
  <si>
    <t>The purpose of the notified Decree is to establish general requirements for a supplier's declaration of conformity in cases where the conformity of a product with a technical regulation is achieved through the declaration, as defined by the competent authority, once a risk analysis has been carried out. The supplier's declaration of conformity may be used in conjunction with another model of conformity assessment procedure; each specific technical regulation shall indicate under which conditions the supplier's declaration of conformity may be used. The specific technical regulation may also lay down conditions for the validity of this declaration.</t>
  </si>
  <si>
    <t>N/A</t>
  </si>
  <si>
    <t>Prevention of deceptive practices and consumer protection (TBT)</t>
  </si>
  <si>
    <d:r xmlns:d="http://schemas.openxmlformats.org/spreadsheetml/2006/main">
      <d:rPr>
        <d:sz val="11"/>
        <d:rFont val="Calibri"/>
      </d:rPr>
      <d:t xml:space="preserve">https://members.wto.org/crnattachments/2024/TBT/CRI/24_08110_00_s.pdf</d:t>
    </d:r>
  </si>
  <si>
    <t>DUS DARS 886, Fresh pineapples — Specification, First edition</t>
  </si>
  <si>
    <t>This Draft Uganda Standard applies to pineapples of varieties (cultivars) grown from Ananas comosus (L.) Merr. to be supplied fresh to the consumer, pineapples for ornamental use or industrial processing being excluded.</t>
  </si>
  <si>
    <d:r xmlns:d="http://schemas.openxmlformats.org/spreadsheetml/2006/main">
      <d:rPr>
        <d:sz val="11"/>
        <d:rFont val="Calibri"/>
      </d:rPr>
      <d:t xml:space="preserve">https://members.wto.org/crnattachments/2024/TBT/UGA/24_08129_00_e.pdf</d:t>
    </d:r>
  </si>
  <si>
    <t>Ordinance SDA/MAPA No. 1.196 of 8 November 2024. Draft. Establishes the phytosanitary requirements for the import bulbs (Category 4) of freesia (Freesia spp.), of any origin</t>
  </si>
  <si>
    <t>Draft for comments. Establishes the phytosanitary requirements for the import bulbs (Category 4) of freesia (Freesia spp.), of any origin.</t>
  </si>
  <si>
    <t>Freesia (Freesia spp</t>
  </si>
  <si>
    <t>0601 - Bulbs, tubers, tuberous roots, corms, crowns and rhizomes, dormant, in growth or in flower, chicory plants and roots (excl. bulbs, tubers and tuberous roots used for human consumption and chicory roots of the variety cichorium intybus sativum)</t>
  </si>
  <si>
    <d:r xmlns:d="http://schemas.openxmlformats.org/spreadsheetml/2006/main">
      <d:rPr>
        <d:sz val="11"/>
        <d:rFont val="Calibri"/>
      </d:rPr>
      <d:t xml:space="preserve">https://members.wto.org/crnattachments/2024/SPS/BRA/24_08152_00_x.pdf
https://www.in.gov.br/web/dou/-/portaria-sda/mapa-n-1.196-de-8-de-novembro-de-2024-595416796</d:t>
    </d:r>
  </si>
  <si>
    <t>Draft Commission Implementing Regulation approving 2,2-Dibromo-2-cyanoacetamide (DBNPA) as an existing active substance for use in biocidal products of product-type 6 in accordance with Regulation (EU) No 528/2012 of the European Parliament and of the Council</t>
  </si>
  <si>
    <t>This draft Commission Implementing Regulation approves 2,2-Dibromo-2-cyanoacetamide (DBNPA) as an existing active substance for use in biocidal products of product-type 6.The substance meets the exclusion criteria set out in Article 5(1) of the Regulation (EU) No 528/2012, but it fulfils the condition for derogation of Article 5(2)(c) of that Regulation for specific uses.</t>
  </si>
  <si>
    <d:r xmlns:d="http://schemas.openxmlformats.org/spreadsheetml/2006/main">
      <d:rPr>
        <d:sz val="11"/>
        <d:rFont val="Calibri"/>
      </d:rPr>
      <d:t xml:space="preserve">https://members.wto.org/crnattachments/2024/TBT/EEC/24_08107_00_e.pdf
https://members.wto.org/crnattachments/2024/TBT/EEC/24_08107_01_e.pdf</d:t>
    </d:r>
  </si>
  <si>
    <t>National Emission Standards for Hazardous Air Pollutants: Rubber Tire Manufacturing</t>
  </si>
  <si>
    <t xml:space="preserve">The U.S. Environmental Protection Agency (EPA) is promulgating amendments to the National Emission Standards for Hazardous Air Pollutants (NESHAP) for Rubber Tire Manufacturing, as required by the Clean Air Act (CAA). To ensure that all emissions of hazardous air pollutants (HAP) from sources in the source category are regulated, the EPA is promulgating emissions standards for the rubber processing subcategory of the rubber tire manufacturing industry, which is the only unregulated subcategory within the Rubber Tire Manufacturing source category.This final rule is effective on 29 November 2024. The incorporation by reference (IBR) of certain publications listed in the rule is approved by the Director of the Federal Register as of 29 November 2024.89 Federal Register (FR) 94886, 29 November 2024; Title 40 Code of Federal Regulations (CFR) Part 63_x000D_
https://www.govinfo.gov/content/pkg/FR-2024-11-29/html/2024-26895.htm_x000D_
https://www.govinfo.gov/content/pkg/FR-2024-11-29/pdf/2024-26895.pdfThis action and previous actions notified under the symbol G/TBT/N/USA/2073 are identified by Docket Number EPA-HQ-OAR-2019-0392. The Docket Folder is available from Regulations.gov at https://www.regulations.gov/docket/EPA-HQ-OAR-2019-0392/document and provides access to primary and supporting documents as well as comments received. Documents are also accessible from Regulations.gov by searching the Docket Number. </t>
  </si>
  <si>
    <t>Rubber tire manufacturing emissions; New pneumatic tyres, of rubber (HS code(s): 4011); Quality (ICS code(s): 03.120); Environmental protection (ICS code(s): 13.020); Air quality (ICS code(s): 13.040); Tyres (ICS code(s): 83.160)</t>
  </si>
  <si>
    <t>4011 - New pneumatic tyres, of rubber; 4011 - New pneumatic tyres, of rubber</t>
  </si>
  <si>
    <t>03.120 - Quality; 13.020 - Environmental protection; 13.040 - Air quality; 83.160 - Tyres; 03.120 - Quality; 13.020 - Environmental protection; 13.040 - Air quality; 83.160 - Tyres</t>
  </si>
  <si>
    <t>Protection of the environment (TBT); Quality requirements (TBT)</t>
  </si>
  <si>
    <d:r xmlns:d="http://schemas.openxmlformats.org/spreadsheetml/2006/main">
      <d:rPr>
        <d:sz val="11"/>
        <d:rFont val="Calibri"/>
      </d:rPr>
      <d:t xml:space="preserve">https://members.wto.org/crnattachments/2024/TBT/USA/final_measure/24_08119_00_e.pdf</d:t>
    </d:r>
  </si>
  <si>
    <t>Draft Amendments to the Scope of the Enterprises Responsible for Placing Relevant Recycling Symbols on Goods and Containers, the Size and Placement of the Symbols, and other Requirements</t>
  </si>
  <si>
    <t>The Scope of the Enterprises Responsible for Placing Relevant Recycling Symbols on Goods and Containers, the Size and Placement of the Symbols, and Other Requirements (the "Announcement") was announced on January 9, 2004 and had gone through one round of amendments since. After the amendments to the Scope of the Goods or the Packaging and Container thereof Required to be Recycled, Disposed of, or Treated and the Enterprises Responsible for the Recycling, Disposal and Treatment were announced on May 19, 2023, plastic liners and blisters have been designated as the regulated recyclable waste; in addition, plastic liners and blisters, together with film containers, are now referred to as film packaging materials. In response to such amendments, to align with international regulations on the mandatory use of recycling symbols for plastic packaging materials, and to enable the general public and recycling enterprises to properly identify and recycle plastic film packaging materials, the Announcement is hereby amended to adjust the scope of the enterprises responsible for placing relevant recycling symbols on plastic film packaging materials, and the timing and methods for placing such symbols.</t>
  </si>
  <si>
    <t>Blister packaging; plastic clamshell; plastic insert trays (non-industrial use); disposable plastic containers or boxes (The disposable plastic containers are produced through thermoforming, where plastic sheets are pressed and molded into the desired shape.)</t>
  </si>
  <si>
    <t>55.040 - Packaging materials and accessories</t>
  </si>
  <si>
    <d:r xmlns:d="http://schemas.openxmlformats.org/spreadsheetml/2006/main">
      <d:rPr>
        <d:sz val="11"/>
        <d:rFont val="Calibri"/>
      </d:rPr>
      <d:t xml:space="preserve">https://members.wto.org/crnattachments/2024/TBT/TPKM/24_08120_00_e.pdf
https://members.wto.org/crnattachments/2024/TBT/TPKM/24_08120_00_x.pdf</d:t>
    </d:r>
  </si>
  <si>
    <t>SDA/MAPA Ordinance No. 1,201, 22 November 2024</t>
  </si>
  <si>
    <t>Ministry of Agriculture and Livestock – MAPA, amends Annex VIII of Ordinance No. 52 of March 15, 2021 previously notified through G/TBT/N/BRA/826/Add.3.</t>
  </si>
  <si>
    <t>HS Code: 01;02;03;04;05;06;07;08;09;10;11;12;13;15;16;17;18;19;20;21;22;23.</t>
  </si>
  <si>
    <t>01 - LIVE ANIMALS; 22 - BEVERAGES, SPIRITS AND VINEGAR; 21 - MISCELLANEOUS EDIBLE PREPARATIONS; 20 - PREPARATIONS OF VEGETABLES, FRUIT, NUTS OR OTHER PARTS OF PLANTS; 19 - PREPARATIONS OF CEREALS, FLOUR, STARCH OR MILK; PASTRYCOOKS' PRODUCTS; 18 - COCOA AND COCOA PREPARATIONS; 17 - SUGARS AND SUGAR CONFECTIONERY; 16 - PREPARATIONS OF MEAT, OF FISH OR OF CRUSTACEANS, MOLLUSCS OR OTHER AQUATIC INVERTEBRATES; 15 - ANIMAL OR VEGETABLE FATS AND OILS AND THEIR CLEAVAGE PRODUCTS; PREPARED EDIBLE FATS; ANIMAL OR VEGETABLE WAXES; 14 - VEGETABLE PLAITING MATERIALS; VEGETABLE PRODUCTS NOT ELSEWHERE SPECIFIED OR INCLUDED; 13 - LAC; GUMS, RESINS AND OTHER VEGETABLE SAPS AND EXTRACTS; 12 - OIL SEEDS AND OLEAGINOUS FRUITS; MISCELLANEOUS GRAINS, SEEDS AND FRUIT; INDUSTRIAL OR MEDICINAL PLANTS; STRAW AND FODDER; 11 - PRODUCTS OF THE MILLING INDUSTRY; MALT; STARCHES; INULIN; WHEAT GLUTEN; 10 - CEREALS; 09 - COFFEE, TEA, MATÉ AND SPICES; 08 - EDIBLE FRUIT AND NUTS; PEEL OF CITRUS FRUITS OR MELONS; 07 - EDIBLE VEGETABLES AND CERTAIN ROOTS AND TUBERS; 06 - LIVE TREES AND OTHER PLANTS; BULBS, ROOTS AND THE LIKE; CUT FLOWERS AND ORNAMENTAL FOLIAGE; 05 - PRODUCTS OF ANIMAL ORIGIN, NOT ELSEWHERE SPECIFIED OR INCLUDED; 04 - DAIRY PRODUCE; BIRDS' EGGS; NATURAL HONEY; EDIBLE PRODUCTS OF ANIMAL ORIGIN, NOT ELSEWHERE SPECIFIED OR INCLUDED; 03 - FISH AND CRUSTACEANS, MOLLUSCS AND OTHER AQUATIC INVERTEBRATES; 02 - MEAT AND EDIBLE MEAT OFFAL; 23 - RESIDUES AND WASTE FROM THE FOOD INDUSTRIES; PREPARED ANIMAL FODDER; 22 - BEVERAGES, SPIRITS AND VINEGAR; 20 - PREPARATIONS OF VEGETABLES, FRUIT, NUTS OR OTHER PARTS OF PLANTS; 18 - COCOA AND COCOA PREPARATIONS; 15 - ANIMAL OR VEGETABLE FATS AND OILS AND THEIR CLEAVAGE PRODUCTS; PREPARED EDIBLE FATS; ANIMAL OR VEGETABLE WAXES; 14 - VEGETABLE PLAITING MATERIALS; VEGETABLE PRODUCTS NOT ELSEWHERE SPECIFIED OR INCLUDED; 02 - MEAT AND EDIBLE MEAT OFFAL; 17 - SUGARS AND SUGAR CONFECTIONERY; 16 - PREPARATIONS OF MEAT, OF FISH OR OF CRUSTACEANS, MOLLUSCS OR OTHER AQUATIC INVERTEBRATES; 05 - PRODUCTS OF ANIMAL ORIGIN, NOT ELSEWHERE SPECIFIED OR INCLUDED; 11 - PRODUCTS OF THE MILLING INDUSTRY; MALT; STARCHES; INULIN; WHEAT GLUTEN; 22 - BEVERAGES, SPIRITS AND VINEGAR; 09 - COFFEE, TEA, MATÉ AND SPICES; 07 - EDIBLE VEGETABLES AND CERTAIN ROOTS AND TUBERS; 06 - LIVE TREES AND OTHER PLANTS; BULBS, ROOTS AND THE LIKE; CUT FLOWERS AND ORNAMENTAL FOLIAGE; 12 - OIL SEEDS AND OLEAGINOUS FRUITS; MISCELLANEOUS GRAINS, SEEDS AND FRUIT; INDUSTRIAL OR MEDICINAL PLANTS; STRAW AND FODDER; 10 - CEREALS; 01 - LIVE ANIMALS; 13 - LAC; GUMS, RESINS AND OTHER VEGETABLE SAPS AND EXTRACTS; 21 - MISCELLANEOUS EDIBLE PREPARATIONS; 19 - PREPARATIONS OF CEREALS, FLOUR, STARCH OR MILK; PASTRYCOOKS' PRODUCTS; 23 - RESIDUES AND WASTE FROM THE FOOD INDUSTRIES; PREPARED ANIMAL FODDER; 03 - FISH AND CRUSTACEANS, MOLLUSCS AND OTHER AQUATIC INVERTEBRATES; 02 - MEAT AND EDIBLE MEAT OFFAL; 14 - VEGETABLE PLAITING MATERIALS; VEGETABLE PRODUCTS NOT ELSEWHERE SPECIFIED OR INCLUDED; 12 - OIL SEEDS AND OLEAGINOUS FRUITS; MISCELLANEOUS GRAINS, SEEDS AND FRUIT; INDUSTRIAL OR MEDICINAL PLANTS; STRAW AND FODDER; 01 - LIVE ANIMALS; 20 - PREPARATIONS OF VEGETABLES, FRUIT, NUTS OR OTHER PARTS OF PLANTS; 09 - COFFEE, TEA, MATÉ AND SPICES; 10 - CEREALS; 13 - LAC; GUMS, RESINS AND OTHER VEGETABLE SAPS AND EXTRACTS; 07 - EDIBLE VEGETABLES AND CERTAIN ROOTS AND TUBERS; 06 - LIVE TREES AND OTHER PLANTS; BULBS, ROOTS AND THE LIKE; CUT FLOWERS AND ORNAMENTAL FOLIAGE; 21 - MISCELLANEOUS EDIBLE PREPARATIONS; 08 - EDIBLE FRUIT AND NUTS; PEEL OF CITRUS FRUITS OR MELONS; 19 - PREPARATIONS OF CEREALS, FLOUR, STARCH OR MILK; PASTRYCOOKS' PRODUCTS; 16 - PREPARATIONS OF MEAT, OF FISH OR OF CRUSTACEANS, MOLLUSCS OR OTHER AQUATIC INVERTEBRATES; 08 - EDIBLE FRUIT AND NUTS; PEEL OF CITRUS FRUITS OR MELONS; 05 - PRODUCTS OF ANIMAL ORIGIN, NOT ELSEWHERE SPECIFIED OR INCLUDED; 04 - DAIRY PRODUCE; BIRDS' EGGS; NATURAL HONEY; EDIBLE PRODUCTS OF ANIMAL ORIGIN, NOT ELSEWHERE SPECIFIED OR INCLUDED; 11 - PRODUCTS OF THE MILLING INDUSTRY; MALT; STARCHES; INULIN; WHEAT GLUTEN; 03 - FISH AND CRUSTACEANS, MOLLUSCS AND OTHER AQUATIC INVERTEBRATES; 23 - RESIDUES AND WASTE FROM THE FOOD INDUSTRIES; PREPARED ANIMAL FODDER; 18 - COCOA AND COCOA PREPARATIONS; 15 - ANIMAL OR VEGETABLE FATS AND OILS AND THEIR CLEAVAGE PRODUCTS; PREPARED EDIBLE FATS; ANIMAL OR VEGETABLE WAXES; 17 - SUGARS AND SUGAR CONFECTIONERY; 04 - DAIRY PRODUCE; BIRDS' EGGS; NATURAL HONEY; EDIBLE PRODUCTS OF ANIMAL ORIGIN, NOT ELSEWHERE SPECIFIED OR INCLUDED</t>
  </si>
  <si>
    <t>Organic agriculture; Food standards; Organic agriculture; Food standards</t>
  </si>
  <si>
    <t>Draft resolution 1291, 28 November 2024</t>
  </si>
  <si>
    <t>This Draft Resolution contains provisions on prohibitions and restrictions applicable to the composition of herbal medicines</t>
  </si>
  <si>
    <d:r xmlns:d="http://schemas.openxmlformats.org/spreadsheetml/2006/main">
      <d:rPr>
        <d:sz val="11"/>
        <d:rFont val="Calibri"/>
      </d:rPr>
      <d:t xml:space="preserve">https://members.wto.org/crnattachments/2024/TBT/BRA/24_08114_00_x.pdf
Draft: https://antigo.anvisa.gov.br/documents/10181/6923701/CONSULTA+PUBLICA+N%C2%BA1291+GMESP.pdf/aa8705eb-3ad7-4713-a2c7-54c9c74ab84e
Comment form: http://pesquisa.anvisa.gov.br/index.php/227695?lang=pt-BR</d:t>
    </d:r>
  </si>
  <si>
    <t>DUS DARS 985:2024, Fresh rhubarb — Specification, 14 pages, First edition</t>
  </si>
  <si>
    <t>This Draft Uganda Standard applies to leaf stalks of rhubarb of varieties (cultivars) grown from Rheum rhaponticum L. to be supplied fresh to the consumer, rhubarb for industrial processing being excluded.</t>
  </si>
  <si>
    <d:r xmlns:d="http://schemas.openxmlformats.org/spreadsheetml/2006/main">
      <d:rPr>
        <d:sz val="11"/>
        <d:rFont val="Calibri"/>
      </d:rPr>
      <d:t xml:space="preserve">https://members.wto.org/crnattachments/2024/TBT/UGA/24_08121_00_e.pdf</d:t>
    </d:r>
  </si>
  <si>
    <t>DUS DARS 979:2024, Fresh garlic — Specification and grading, 18 pages, First edition</t>
  </si>
  <si>
    <t>This Draft Uganda Standard applies to garlic of varieties (cultivars) grown from Allium sativum var. sativum L. to be supplied fresh1, semi-dry2 or dry3 to the consumer, green garlic with full leaves and undeveloped cloves and garlic for industrial processing being excluded. The garlic bulbs may consist of several or only one clove (“solo garlic”).</t>
  </si>
  <si>
    <d:r xmlns:d="http://schemas.openxmlformats.org/spreadsheetml/2006/main">
      <d:rPr>
        <d:sz val="11"/>
        <d:rFont val="Calibri"/>
      </d:rPr>
      <d:t xml:space="preserve">https://members.wto.org/crnattachments/2024/TBT/UGA/24_08124_00_e.pdf</d:t>
    </d:r>
  </si>
  <si>
    <t>Safety Standard for Toys: Requirements for Water Beads</t>
  </si>
  <si>
    <t xml:space="preserve">On 8 November 2024, the U.S. Consumer Product Safety Commission (CPSC) published an extension of the comment period for the Notice of Proposed Rulemaking: Safety Standard for Toys: Requirements for Water Beads. In this document, CPSC is correcting an incorrect heading in that document.Submit comments by 8 December 2024.89 Federal Register (FR) 94630, 29 November 2024; Title 16 Code of Federal Regulations (CFR) Part 1250_x000D_
https://www.govinfo.gov/content/pkg/FR-2024-11-29/html/2024-28042.htm_x000D_
https://www.govinfo.gov/content/pkg/FR-2024-11-29/pdf/2024-28042.pdfThis action and previous actions notified under the symbol G/TBT/N/USA/2146 are identified by Docket Number CPSC-2024-0027. The Docket Folder is available from Regulations.gov at https://www.regulations.gov/docket/CPSC-2024-0027/document and provides access to primary documents as well as comments received. Documents are also accessible from Regulations.gov by searching the Docket Number. WTO Members and their stakeholders are asked to submit comments to the USA TBT Enquiry Point by or before 4pmEastern Time on 8 December 2024. Comments received by the USA TBT Enquiry Point from WTO Members and their stakeholders will be shared with CPSC and will also be submitted to the Docket on Regulations.gov if received within the comment period.</t>
  </si>
  <si>
    <t>Water bead toys and toys that contain water beads. A toy is defined as “any object designed, manufactured, or marketed as a plaything for children under 14 years of age”. Product and company certification. Conformity assessment (ICS code(s): 03.120.20); Toys (ICS code(s): 97.200.50)</t>
  </si>
  <si>
    <t>03.120.20 - Product and company certification. Conformity assessment; 03.120.20 - Product and company certification. Conformity assessment; 97.200.50 - Toys; 97.200.50 - Toys; 03.120.20 - Product and company certification. Conformity assessment; 97.200.50 - Toys</t>
  </si>
  <si>
    <d:r xmlns:d="http://schemas.openxmlformats.org/spreadsheetml/2006/main">
      <d:rPr>
        <d:sz val="11"/>
        <d:rFont val="Calibri"/>
      </d:rPr>
      <d:t xml:space="preserve">https://members.wto.org/crnattachments/2024/TBT/USA/24_08116_00_e.pdf</d:t>
    </d:r>
  </si>
  <si>
    <t>Draft resolution 1292, 28 November 2024</t>
  </si>
  <si>
    <t>This Draft Resolution contains provisions on the "List of Pesticides Selected for Analysis in Herbal Medicines".This Draft Resolution will also be notified to the SPS committee</t>
  </si>
  <si>
    <d:r xmlns:d="http://schemas.openxmlformats.org/spreadsheetml/2006/main">
      <d:rPr>
        <d:sz val="11"/>
        <d:rFont val="Calibri"/>
      </d:rPr>
      <d:t xml:space="preserve">https://members.wto.org/crnattachments/2024/TBT/BRA/24_08113_00_x.pdf
Draft: https://antigo.anvisa.gov.br/documents/10181/6923701/CONSULTA+PUBLICA+N%C2%BA+1292+GMESP.pdf/e9b2bbc1-3cc6-4311-a521-83232ec7c75b
Comment form: http://pesquisa.anvisa.gov.br/index.php/242717?lang=pt-BR</d:t>
    </d:r>
  </si>
  <si>
    <t>Draft resolution 1290, 28 November2024</t>
  </si>
  <si>
    <t>This Draft Resolution contains provisions on the market authorization of herbal medicines and the market authorization and notification of traditional herbal products.</t>
  </si>
  <si>
    <d:r xmlns:d="http://schemas.openxmlformats.org/spreadsheetml/2006/main">
      <d:rPr>
        <d:sz val="11"/>
        <d:rFont val="Calibri"/>
      </d:rPr>
      <d:t xml:space="preserve">https://members.wto.org/crnattachments/2024/TBT/BRA/24_08115_00_x.pdf
Draft: https://antigo.anvisa.gov.br/documents/10181/6923701/CONSULTA+PUBLICA+N%C2%BA+1290+GMESP.pdf/4399e168-8339-46d3-9f59-f02d499f93c2
Comment form: http://pesquisa.anvisa.gov.br/index.php/512249?lang=pt-BR</d:t>
    </d:r>
  </si>
  <si>
    <t>Reglamento Técnico RTCR 515:2024. Cannabis. Productos medicinales a base de cannabis. Disposiciones administrativas, registro sanitario, etiquetado, especificaciones, control y publicidad (Costa Rican Technical Regulation (RTCR) 515:2024. Cannabis. Cannabis-based medicinal products. Administrative provisions, sanitary registration, labelling, specifications, control and advertising) (73 pages, in Spanish)</t>
  </si>
  <si>
    <t>The purpose of the notified regulation is to establish the administrative provisions and requirements that are to govern and control cannabis-based medicinal products. It applies to the processed products referred to therein as medicinal products made using cannabis and raw materials containing cannabis plant derivatives, that are to be used and applied in human medicine.</t>
  </si>
  <si>
    <t>ICS 121190</t>
  </si>
  <si>
    <d:r xmlns:d="http://schemas.openxmlformats.org/spreadsheetml/2006/main">
      <d:rPr>
        <d:sz val="11"/>
        <d:rFont val="Calibri"/>
      </d:rPr>
      <d:t xml:space="preserve">https://members.wto.org/crnattachments/2024/TBT/CRI/24_08111_00_s.pdf</d:t>
    </d:r>
  </si>
  <si>
    <t>DUS DARS 981:2024,  Fresh leeks — Specification, First edition</t>
  </si>
  <si>
    <t>This Draft Uganda Standard applies to leeks of varieties (cultivars) grown from Allium porrum L. to be supplied fresh to the consumer, leeks for industrial processing being excluded.</t>
  </si>
  <si>
    <d:r xmlns:d="http://schemas.openxmlformats.org/spreadsheetml/2006/main">
      <d:rPr>
        <d:sz val="11"/>
        <d:rFont val="Calibri"/>
      </d:rPr>
      <d:t xml:space="preserve">https://members.wto.org/crnattachments/2024/TBT/UGA/24_08122_00_e.pdf</d:t>
    </d:r>
  </si>
  <si>
    <t>Significant New Use Rules on Certain Chemical Substances (24-1.F)</t>
  </si>
  <si>
    <t xml:space="preserve">Proposed rule - EPA is proposing significant new use rules (SNURs) under the 
Toxic Substances Control Act (TSCA) for certain chemical substances 
that were the subject of premanufacture notices (PMNs). The chemical 
substances received “not likely to present an unreasonable risk”  determinations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that use, under the conditions of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</si>
  <si>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d:r xmlns:d="http://schemas.openxmlformats.org/spreadsheetml/2006/main">
      <d:rPr>
        <d:sz val="11"/>
        <d:rFont val="Calibri"/>
      </d:rPr>
      <d:t xml:space="preserve">https://members.wto.org/crnattachments/2024/TBT/USA/24_08117_00_e.pdf</d:t>
    </d:r>
  </si>
  <si>
    <t>Significant New Use Rules on Certain Chemical Substances (22- 1.5e)</t>
  </si>
  <si>
    <t xml:space="preserve">EPA is issuing this supplemental proposal to update the significant new use rules (SNURs) previously proposed under the Toxic Substances Control Act (TSCA) for seventeen chemical substances that were the subject of premanufacture notices (PMNs) and are also subject to an Order issued by EPA pursuant to TSCA. The SNURs would require persons who intend to manufacture (defined by statute to include import) or process any of these seventeen chemical substances for an activity that is proposed as a significant new use by this rulemaking to notify EPA at least 90 days before commencing that activity. The required notification initiates EPA's evaluation of the conditions of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determination.Comments must be received on or before 30 December 2024.89 Federal Register (FR) 94642, 29 November 2024; Title 40 Code of Federal Regulations (CFR) Part 721_x000D_
https://www.govinfo.gov/content/pkg/FR-2024-11-29/html/2024-27914.htm_x000D_
https://www.govinfo.gov/content/pkg/FR-2024-11-29/pdf/2024-27914.pdfThis supplemental notice of proposed rulemaking and previous actions notified under the symbol G/TBT/N/USA/1949 are identified by Docket Number EPA-HQ-OPPT-2021-0847. The Docket Folder is available on Regulations.gov at https://www.regulations.gov/docket/EPA-HQ-OPPT-2021-0847/document and provides access to primary and supporting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30 December 2024 will be shared with EPA and will also be submitted to the Docket on Regulations.gov if received within the comment period.</t>
  </si>
  <si>
    <t>13.020 - Environmental protection; 13.020 - Environmental protection; 71.020 - Production in the chemical industry; 71.020 - Production in the chemical industry; 71.100 - Products of the chemical industry; 71.100 - Products of the chemical industry</t>
  </si>
  <si>
    <d:r xmlns:d="http://schemas.openxmlformats.org/spreadsheetml/2006/main">
      <d:rPr>
        <d:sz val="11"/>
        <d:rFont val="Calibri"/>
      </d:rPr>
      <d:t xml:space="preserve">https://members.wto.org/crnattachments/2024/TBT/USA/modification/24_08118_00_e.pdf</d:t>
    </d:r>
  </si>
  <si>
    <t>New GB MRLs for isoflucypram amending the GB MRL Statutory Register </t>
  </si>
  <si>
    <t>An application was received by the Health and Safety Executive to set new MRLs for isoflucypram for barley, oat, rye and sheep fat. Following assessment, new MRLs have been introduced.The Evaluation Report/Reasoned Opinion supporting the new MRLs are available at the following link. A complete list of the new MRLs is available within this document, see pages 6-7: The evaluation of new MRLs for isoflucypram in or on cereals and sheep fatThe residue levels arising in food from the notified uses result in consumer exposures below the toxicological reference values and therefore harmful effects on human health are not expected. As the residue levels exceed the current MRLs in force, new MRLs are being adopted.</t>
  </si>
  <si>
    <t>Barley (0500010), Oat (0500050), Rye (0500070) and Sheep fat (1013020) - For reference, the full list of GB commodity codes is set out in Part 1 of the GB pesticides Maximum Residue Level Statutory Register – see link</t>
  </si>
  <si>
    <d:r xmlns:d="http://schemas.openxmlformats.org/spreadsheetml/2006/main">
      <d:rPr>
        <d:sz val="11"/>
        <d:rFont val="Calibri"/>
      </d:rPr>
      <d:t xml:space="preserve">https://members.wto.org/crnattachments/2024/SPS/GBR/24_08135_00_e.pdf</d:t>
    </d:r>
  </si>
  <si>
    <t>This Draft Uganda Standard applies to sweet fennel (anise) of varieties (cultivars) grown from Foeniculum vulgare Mill. to be supplied fresh to the consumer, fennel for processing being excluded.</t>
  </si>
  <si>
    <t>Leeks and other alliaceous vegetables, fresh or chilled (excl. onions, shallots and garlic) (HS code(s): 070390); Vegetables and derived products (ICS code(s): 67.080.20); Fresh fennel</t>
  </si>
  <si>
    <d:r xmlns:d="http://schemas.openxmlformats.org/spreadsheetml/2006/main">
      <d:rPr>
        <d:sz val="11"/>
        <d:rFont val="Calibri"/>
      </d:rPr>
      <d:t xml:space="preserve">https://members.wto.org/crnattachments/2024/TBT/UGA/24_08125_00_e.pdf</d:t>
    </d:r>
  </si>
  <si>
    <t>Russian Federation</t>
  </si>
  <si>
    <t>Letters of the Federal Service for Veterinary and Phytosanitary Surveillance No. FS-ARe-7/6246 as of 31 October 2020 and No. FS-ARe-7/6276-3 as of 19 November 2024</t>
  </si>
  <si>
    <t>The Russian Federation notifies temporary restrictions on imports of live poultry, poultry products and birds' eggs as well as the transit of live poultry from Hajdú–Bihar, Fejér and Baranya regions of Hungary to the territory of the Russian Federation due to  deterioration of the epizootic situation with highly pathogenic avian influenza in the regions mentioned. </t>
  </si>
  <si>
    <t xml:space="preserve">Live poultry, bird eggs, meat and edible offal of poultry, machinery for preparing animal feeding stuffs, poultry incubators and brooders._x000D_
HS Codes: 0105; 0407, 0408; 0207;0208,0209,0210,0410 00 000 0,0504 00 000 0,0505,0511,1501,1506 00 000 0,1516 10,1518 00,1601 00,1602, 1603 00,1902 20,1904 20,products from group 20, from 2104, from 2106, 4206 00 000 0, 0106; 508 10 000 0,0106,9705 00 000 0; 9508 10 000 0,0106; 2102, 2309, 2936, 3504, 3507, 3808, 3824; 3923,3926,4415 4416 00 000 0, 4421, 7020 00, 7309 00, 7310, 7326, 7616, 8436 10 000 0, 8436 21 000 0, 8436 29 000 0, 8436 80 900 0, 8606 91 800 0, 8609 00, 8716 39 800;</t>
  </si>
  <si>
    <t>0105 - Live poultry, "fowls of the species Gallus domesticus, ducks, geese, turkeys and guinea fowls"; 2936 - Provitamins and vitamins, natural or reproduced by synthesis, incl. natural concentrates, derivatives thereof used primarily as vitamins, and intermixtures of the foregoing, whether or not in any solvent; 3504 - Peptones and their derivatives; other albuminous substances and their derivatives, n.e.s.; hide powder, whether or not chromed; 3507 - Enzymes; prepared enzymes, n.e.s.; 3808 - Insecticides, rodenticides, fungicides, herbicides, anti-sprouting products and plant-growth regulators, disinfectants and similar products, put up for retail sale or as preparations or articles, e.g. sulphur-treated bands, wicks and candles, and fly-papers; 3824 - Prepared binders for foundry moulds or cores; chemical products and preparations for the chemical or allied industries, incl. mixtures of natural products, n.e.s.; 3923 - Articles for the conveyance or packaging of goods, of plastics; stoppers, lids, caps and other closures, of plastics; 3926 - Articles of plastics and articles of other materials of heading 3901 to 3914, n.e.s.; 4206 - Articles of gut, goldbeater's skin, bladders or tendons (excl. silkworm gut, sterile catgut, other sterile surgical suture material and strings for musical instruments); 4415 - Packing cases, boxes, crates, drums and similar packings, of wood; cable-drums of wood; pallets, box pallets and other load boards, of wood; pallet collars of wood (excl. containers specially designed and equipped for one or more modes of transport); 2309 - Preparations of a kind used in animal feeding; 441600 - Casks, barrels, vats, tubs and other coopers' products parts thereof, of wood, incl. staves; 702000 - Articles of glass, n.e.s.; 730900 - 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 7310 - Tanks, casks, drums, cans, boxes and similar containers, of iron or steel, for any material "other than compressed or liquefied gas", of a capacity of &lt;= 300 l, not fitted with mechanical or thermal equipment, whether or not lined or heat-insulated, n.e.s.; 7326 - Articles of iron or steel, n.e.s. (excl. cast articles); 7616 - Articles of aluminium, n.e.s.; 843610 - Machinery for preparing animal feedingstuffs in agricultural holdings and similar undertakings (excl. machinery for the feedingstuff industry, forage harvesters and autoclaves for cooking fodder); 843621 - Poultry incubators and brooders; 843629 - Poultry-keeping machinery (excl. machines for sorting or grading eggs, poultry pickers of heading 8438 and incubators and brooders); 8609 - Containers, incl. containers for the transport of fluids, specially designed and equipped for carriage by one or more modes of transport; 4421 - Other articles of wood, n.e.s.; 950810 - Travelling circuses and travelling menageries; 2106 - Food preparations, n.e.s.; 2102 - Yeasts, active or inactive; other dead single-cell micro-organisms, prepared baking powders (excl. single-cell micro-organisms packaged as medicaments); 0106 - Live animals (excl. horses, asses, mules, hinnies, bovine animals, swine, sheep, goats, poultry, fish, crustaceans, molluscs and other aquatic invertebrates, and microorganic cultures etc.);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0210 - Meat and edible offal, salted, in brine, dried or smoked; edible flours and meals of meat or meat offal; 0407 - Birds' eggs, in shell, fresh, preserved or cooked; 0408 - Birds' eggs, not in shell, and egg yolks, fresh, dried, cooked by steaming or by boiling in water, moulded, frozen or otherwise preserved, whether or not containing added sugar or other sweetening matter; 041000 - Turtles' eggs, birds' nests and other edible products of animal origin, n.e.s.; 050400 - Guts, bladders and stomachs of animals (other than fish), whole and pieces thereof, fresh, chilled, frozen, salted, in brine, dried or smoked; 2104 - Soups and broths and preparations therefor; food preparations consisting of finely homogenized mixtures of two or more basic ingredients such as meat, fish, vegetables or fruit, put up for retail sale as infant food or for dietetic purposes, in containers of &lt;= 250 g; 0505 - Skins and other parts of birds, with their feathers or down, feathers and parts of feathers, whether or not with trimmed edges, and down, not further worked than cleaned, disinfected or treated for preservation; powder and waste of feathers or parts of feathers; 1501 - Pig fat, incl. lard, and poultry fat, rendered or otherwise extracted (excl. lard stearin and lard oil); 150600 - Other animal fats and oils and their fractions, whether or not refined, but not chemically modified (excl. pig fat, poultry fat, fats of bovine animals, sheep and goats, fats of fish and other marine animals, lard stearin, lard oil, oloestearin, oleo-oil, tallow oil, wool grease and fatty substances derived therefrom); 151610 - Animal fats and oils and their fractions, partly or wholly hydrogenated, inter-esterified, re-esterified or elaidinized, whether or not refined, but not further prepared; 151800 - Animal or vegetable fats and oils and their fractions, boiled, oxidised, dehydrated, sulphurized, blown, polymerized by heat in vacuum or in inert gas or otherwise chemically modified, inedible mixtures or preparations of animal or vegetable fats or oils or of fractions of different fats or oils, n.e.s.; 160100 - Sausages and similar products, of meat, offal or blood; food preparations based on these products; 1602 - Prepared or preserved meat, offal or blood (excl. sausages and similar products, and meat extracts and juices); 160300 - Extracts and juices of meat, fish or crustaceans, molluscs and other aquatic invertebrates; 190220 - Pasta, stuffed with meat or other substances, whether or not cooked or otherwise prepared; 190420 - Prepared foods obtained from unroasted cereal flakes or from mixtures of unroasted cereal flakes and roasted cereal flakes or swelled cereals; 0511 - Animal products n.e.s.; dead animals of all types, unfit for human consumption; 970500 - Collections and collector's pieces of zoological, botanical, mineralogical, anatomical, historical, archaeological, palaeontological, ethnographic or numismatic interest; 843629 - Poultry-keeping machinery (excl. machines for sorting or grading eggs, poultry pickers of heading 8438 and incubators and brooders); 3923 - Articles for the conveyance or packaging of goods, of plastics; stoppers, lids, caps and other closures, of plastics; 441600 - Casks, barrels, vats, tubs and other coopers' products parts thereof, of wood, incl. staves; 950810 - Travelling circuses and travelling menageries; 970500 - Collections and collector's pieces of zoological, botanical, mineralogical, anatomical, historical, archaeological, palaeontological, ethnographic or numismatic interest; 0407 - Birds' eggs, in shell, fresh, preserved or cooked; 3504 - Peptones and their derivatives; other albuminous substances and their derivatives, n.e.s.; hide powder, whether or not chromed; 4421 - Other articles of wood, n.e.s.; 0209 - Pig fat, free of lean meat, and poultry fat, not rendered or otherwise extracted, fresh, chilled, frozen, salted, in brine, dried or smoked; 050400 - Guts, bladders and stomachs of animals (other than fish), whole and pieces thereof, fresh, chilled, frozen, salted, in brine, dried or smoked; 2106 - Food preparations, n.e.s.; 0511 - Animal products n.e.s.; dead animals of all types, unfit for human consumption; 2936 - Provitamins and vitamins, natural or reproduced by synthesis, incl. natural concentrates, derivatives thereof used primarily as vitamins, and intermixtures of the foregoing, whether or not in any solvent; 3926 - Articles of plastics and articles of other materials of heading 3901 to 3914, n.e.s.; 702000 - Articles of glass, n.e.s.; 7310 - Tanks, casks, drums, cans, boxes and similar containers, of iron or steel, for any material "other than compressed or liquefied gas", of a capacity of &lt;= 300 l, not fitted with mechanical or thermal equipment, whether or not lined or heat-insulated, n.e.s.; 7326 - Articles of iron or steel, n.e.s. (excl. cast articles); 7616 - Articles of aluminium, n.e.s.; 1602 - Prepared or preserved meat, offal or blood (excl. sausages and similar products, and meat extracts and juices); 3507 - Enzymes; prepared enzymes, n.e.s.; 730900 - 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 151610 - Animal fats and oils and their fractions, partly or wholly hydrogenated, inter-esterified, re-esterified or elaidinized, whether or not refined, but not further prepared; 843621 - Poultry incubators and brooders; 2102 - Yeasts, active or inactive; other dead single-cell micro-organisms, prepared baking powders (excl. single-cell micro-organisms packaged as medicaments); 0105 - Live poultry, "fowls of the species Gallus domesticus, ducks, geese, turkeys and guinea fowls"; 4415 - Packing cases, boxes, crates, drums and similar packings, of wood; cable-drums of wood; pallets, box pallets and other load boards, of wood; pallet collars of wood (excl. containers specially designed and equipped for one or more modes of transport); 3808 - Insecticides, rodenticides, fungicides, herbicides, anti-sprouting products and plant-growth regulators, disinfectants and similar products, put up for retail sale or as preparations or articles, e.g. sulphur-treated bands, wicks and candles, and fly-papers; 2104 - Soups and broths and preparations therefor; food preparations consisting of finely homogenized mixtures of two or more basic ingredients such as meat, fish, vegetables or fruit, put up for retail sale as infant food or for dietetic purposes, in containers of &lt;= 250 g; 160300 - Extracts and juices of meat, fish or crustaceans, molluscs and other aquatic invertebrates; 150600 - Other animal fats and oils and their fractions, whether or not refined, but not chemically modified (excl. pig fat, poultry fat, fats of bovine animals, sheep and goats, fats of fish and other marine animals, lard stearin, lard oil, oloestearin, oleo-oil, tallow oil, wool grease and fatty substances derived therefrom); 0106 - Live animals (excl. horses, asses, mules, hinnies, bovine animals, swine, sheep, goats, poultry, fish, crustaceans, molluscs and other aquatic invertebrates, and microorganic cultures etc.); 0210 - Meat and edible offal, salted, in brine, dried or smoked; edible flours and meals of meat or meat offal; 190420 - Prepared foods obtained from unroasted cereal flakes or from mixtures of unroasted cereal flakes and roasted cereal flakes or swelled cereals; 2309 - Preparations of a kind used in animal feeding; 0408 - Birds' eggs, not in shell, and egg yolks, fresh, dried, cooked by steaming or by boiling in water, moulded, frozen or otherwise preserved, whether or not containing added sugar or other sweetening matter; 4206 - Articles of gut, goldbeater's skin, bladders or tendons (excl. silkworm gut, sterile catgut, other sterile surgical suture material and strings for musical instruments); 041000 - Turtles' eggs, birds' nests and other edible products of animal origin, n.e.s.; 151800 - Animal or vegetable fats and oils and their fractions, boiled, oxidised, dehydrated, sulphurized, blown, polymerized by heat in vacuum or in inert gas or otherwise chemically modified, inedible mixtures or preparations of animal or vegetable fats or oils or of fractions of different fats or oils, n.e.s.; 160100 - Sausages and similar products, of meat, offal or blood; food preparations based on these products; 3824 - Prepared binders for foundry moulds or cores; chemical products and preparations for the chemical or allied industries, incl. mixtures of natural products, n.e.s.; 0207 - Meat and edible offal of fowls of the species Gallus domesticus, ducks, geese, turkeys and guinea fowls, fresh, chilled or frozen; 0505 - Skins and other parts of birds, with their feathers or down, feathers and parts of feathers, whether or not with trimmed edges, and down, not further worked than cleaned, disinfected or treated for preservation; powder and waste of feathers or parts of feathers; 1501 - Pig fat, incl. lard, and poultry fat, rendered or otherwise extracted (excl. lard stearin and lard oil); 190220 - Pasta, stuffed with meat or other substances, whether or not cooked or otherwise prepared; 843610 - Machinery for preparing animal feedingstuffs in agricultural holdings and similar undertakings (excl. machinery for the feedingstuff industry, forage harvesters and autoclaves for cooking fodder); 0208 - Meat and edible offal of rabbits, hares, pigeons and other animals, fresh, chilled or frozen (excl. of bovine animals, swine, sheep, goats, horses, asses, mules, hinnies, poultry "fowls of the species Gallus domesticus", ducks, geese, turkeys and guinea fowls); 8609 - Containers, incl. containers for the transport of fluids, specially designed and equipped for carriage by one or more modes of transport</t>
  </si>
  <si>
    <t>Pest- or Disease- free Regions / Regionalization; Animal diseases; Zoonoses; Food safety; Animal health; Human health; Avian Influenza; Modification of content/scope of regulation; Pest- or Disease- free Regions / Regionalization; Human health; Animal health; Zoonoses; Food safety; Animal diseases; Avian Influenza</t>
  </si>
  <si>
    <d:r xmlns:d="http://schemas.openxmlformats.org/spreadsheetml/2006/main">
      <d:rPr>
        <d:sz val="11"/>
        <d:rFont val="Calibri"/>
      </d:rPr>
      <d:t xml:space="preserve">https://members.wto.org/crnattachments/2024/SPS/RUS/24_08109_00_x.pdf
https://members.wto.org/crnattachments/2024/SPS/RUS/24_08109_01_x.pdf
https://fsvps.gov.ru/files/ukazanie-rosselhoznadzora-ot-31-oktjabrja-2024-goda-fs-arje-7-6246-3/
https://fsvps.gov.ru/files/ukazanie-rosselhoznadzora-ot-19-nojabrja-2024-goda-fs-arje-7-6276-3/</d:t>
    </d:r>
  </si>
  <si>
    <t>DUS DARS 984: 2024, Fresh ribbed celery — Specification, First edition</t>
  </si>
  <si>
    <t xml:space="preserve">This Draft Uganda standard applies to ribbed celery of varieties (cultivars) grown from Apium graveolens L. var. dulce Mill. to be supplied fresh to the consumer, ribbed celery for industrial processing being_x000D_
excluded.</t>
  </si>
  <si>
    <t>Fresh or chilled celery (excl. celeriac) (HS code(s): 070940); Vegetables and derived products (ICS code(s): 67.080.20)</t>
  </si>
  <si>
    <d:r xmlns:d="http://schemas.openxmlformats.org/spreadsheetml/2006/main">
      <d:rPr>
        <d:sz val="11"/>
        <d:rFont val="Calibri"/>
      </d:rPr>
      <d:t xml:space="preserve">https://members.wto.org/crnattachments/2024/TBT/UGA/24_08123_00_e.pdf</d:t>
    </d:r>
  </si>
  <si>
    <t>Draft Resolution 1277, 29 August 2024</t>
  </si>
  <si>
    <t>Draft Resolution 1277, 29 August 2024 - previously notified through  G/SPS/N/BRA/2327 - was adopted as Normative Instruction 335, 14 November 2024. The regulation includes active ingredient F81 - POTASSIUM PHOSPHONATE on the Monograph List of Active Ingredients for Pesticides, Household Cleaning Products and Wood Preservatives, published by Normative Instruction 103 on 19 October 2021 in the Brazilian Official Gazette (DOU - Diário Oficial da União). The final text is available only in Portuguese and can be downloaded at:</t>
  </si>
  <si>
    <t>Adoption/publication/entry into force of reg.; Human health; Food safety; Food safety; Human health</t>
  </si>
  <si>
    <d:r xmlns:d="http://schemas.openxmlformats.org/spreadsheetml/2006/main">
      <d:rPr>
        <d:sz val="11"/>
        <d:rFont val="Calibri"/>
      </d:rPr>
      <d:t xml:space="preserve">https://members.wto.org/crnattachments/2024/SPS/BRA/24_08102_00_x.pdf
https://antigo.anvisa.gov.br/documents/10181/6855234/IN_335_2024_.pdf/6f676c6c-0844-48d6-bb37-f20dee176d51.</d:t>
    </d:r>
  </si>
  <si>
    <t>Draft Commission Implementing Regulation approving 1,2-Benzisothiazol-3(2H)-one (BIT) as an existing active substance for use in biocidal products of product-types 6 and 13 in accordance with Regulation (EU) No 528/2012 of the European Parliament and of the Council</t>
  </si>
  <si>
    <t>This draft Commission Implementing Regulation approves 1,2-Benzisothiazol-3(2H)-one (BIT) as an existing active substance for use in biocidal products of product-types 6 and 13</t>
  </si>
  <si>
    <d:r xmlns:d="http://schemas.openxmlformats.org/spreadsheetml/2006/main">
      <d:rPr>
        <d:sz val="11"/>
        <d:rFont val="Calibri"/>
      </d:rPr>
      <d:t xml:space="preserve">https://members.wto.org/crnattachments/2024/TBT/EEC/24_08103_00_e.pdf
https://members.wto.org/crnattachments/2024/TBT/EEC/24_08103_01_e.pdf
The text is available on the EU-TBT Website : http://ec.europa.eu/growth/tools-databases/tbt/
Electronically</d:t>
    </d:r>
  </si>
  <si>
    <t>DUS DARS 973:2024, Fresh aubergines — Specification, First edition</t>
  </si>
  <si>
    <t>This Draft Uganda Standard applies to aubergines of varieties (cultivars) grown from Solanum melongena L. var. esculentum, insanum and ovigerum, to be supplied fresh to the consumer, aubergines for industrial processing being excluded. According to their shape a distinction is made between: a) elongated aubergines (including club shaped, cylindrical, ellipsoid and pear shaped), and b) globus aubergines/ round aubergines (including oval shaped).</t>
  </si>
  <si>
    <d:r xmlns:d="http://schemas.openxmlformats.org/spreadsheetml/2006/main">
      <d:rPr>
        <d:sz val="11"/>
        <d:rFont val="Calibri"/>
      </d:rPr>
      <d:t xml:space="preserve">https://members.wto.org/crnattachments/2024/TBT/UGA/24_08126_00_e.pdf</d:t>
    </d:r>
  </si>
  <si>
    <t>Proposed establishment of the “Enforcement Rule of the Digital Medical Products Act”</t>
  </si>
  <si>
    <t xml:space="preserve">The purpose of this Rule is to prescribe matters mandated by the Digital Medical Products Act and the Enforcement Decree of that Act for its enactment and enforcement. The details are as follows:_x000D_
A. the scope of and classification standards for digital technology_x000D_
B. permission (certification and reporting) considering the characteristics of digital medical devices_x000D_
C. clinical trials (clinical performance tests)_x000D_
D. cancellation or correction order regarding confirmation/investigation of compliance with quality control standards _x000D_
E. labeling, follow-up management methods and procedures_x000D_
F. certification of excellent management systems_x000D_
G. manufacturing and import of medicines combined with digital technology_x000D_
H. impact assessment for supporting the development of digital medical products_x000D_
I. matters regarding fees for digital medical devices</t>
  </si>
  <si>
    <t>Digital Medical Products</t>
  </si>
  <si>
    <t>11.040 - Medical equipment; 11.120 - Pharmaceutics</t>
  </si>
  <si>
    <d:r xmlns:d="http://schemas.openxmlformats.org/spreadsheetml/2006/main">
      <d:rPr>
        <d:sz val="11"/>
        <d:rFont val="Calibri"/>
      </d:rPr>
      <d:t xml:space="preserve">https://members.wto.org/crnattachments/2024/TBT/KOR/24_08100_00_x.pdf</d:t>
    </d:r>
  </si>
  <si>
    <t>Proposed revision of Ministerial Ordinance on the Specifications and Standards of Feeds and Feed Additives</t>
  </si>
  <si>
    <t>MAFF will designate Isopropyl ester of 2-hydroxy-4-(metylthio) butanoic acid as a feed additive and set the standards and specifications for feed and feed additives to "Ministerial Ordinance on the Specifications and Standards of Feeds and Feed Additives" (Ordinance No. 35 of 24 July 1976 of the Ministry of Agriculture and Forestry).</t>
  </si>
  <si>
    <t>Isopropyl ester of 2-hydroxy-4-(metylthio) butanoic acid as a feed additive</t>
  </si>
  <si>
    <t>230990 - Preparations of a kind used in animal feeding (excl. dog or cat food put up for retail sale); 291560 - Butanoic acids, pentanoic acids, their salts and esters</t>
  </si>
  <si>
    <t>Animal health; Human health; Food safety; Animal diseases</t>
  </si>
  <si>
    <d:r xmlns:d="http://schemas.openxmlformats.org/spreadsheetml/2006/main">
      <d:rPr>
        <d:sz val="11"/>
        <d:rFont val="Calibri"/>
      </d:rPr>
      <d:t xml:space="preserve">https://members.wto.org/crnattachments/2024/SPS/JPN/24_08098_00_e.pdf</d:t>
    </d:r>
  </si>
  <si>
    <t>Proposed establishment of the “Enforcement Decree of the Digital Medical Products Act”</t>
  </si>
  <si>
    <t xml:space="preserve">The purpose of this Decree is to prescribe matters mandated by the Digital Medical Products Act for its enactment and enforcement. The matters are as follows:_x000D_
A. details necessary for establishment and implementation of a comprehensive plan for digital medical products_x000D_
B. facility standards for medicines combined with digital technology_x000D_
C. procedures and methods for designating institutions for fostering professional human resources, centers for regulatory support, and agencies for certification_x000D_
D. processing of sensitive information and personally identifiable information_x000D_
E. other matters</t>
  </si>
  <si>
    <t>11.040 - Medical equipment</t>
  </si>
  <si>
    <d:r xmlns:d="http://schemas.openxmlformats.org/spreadsheetml/2006/main">
      <d:rPr>
        <d:sz val="11"/>
        <d:rFont val="Calibri"/>
      </d:rPr>
      <d:t xml:space="preserve">https://members.wto.org/crnattachments/2024/TBT/KOR/24_08099_00_x.pdf</d:t>
    </d:r>
  </si>
  <si>
    <t>Proposed revision of Ministerial Ordinance on the Specifications and Standards of Feeds and Feed Additives.</t>
  </si>
  <si>
    <t>MAFF will designate Isopropyl ester of 2-hydroxy-4-(metylthio) butanoic acid as a feed additive and set the technical regulations and specifications for feed and feed additives to "Ministerial Ordinance on the Specifications and Standards of Feeds and Feed Additives" (Ordinance No. 35 of 24 July 1976 of the Ministry of Agriculture and Forestry).</t>
  </si>
  <si>
    <t>Isopropyl ester of 2-hydroxy-4-(metylthio) butanoic acid as a feed additive.</t>
  </si>
  <si>
    <t>Consumer information, labelling (TBT); Protection of human health or safety (TBT); Protection of animal or plant life or health (TBT)</t>
  </si>
  <si>
    <d:r xmlns:d="http://schemas.openxmlformats.org/spreadsheetml/2006/main">
      <d:rPr>
        <d:sz val="11"/>
        <d:rFont val="Calibri"/>
      </d:rPr>
      <d:t xml:space="preserve">https://members.wto.org/crnattachments/2024/TBT/JPN/24_08097_00_e.pdf</d:t>
    </d:r>
  </si>
  <si>
    <t>Uniform Compliance Date for Food Labeling Regulations</t>
  </si>
  <si>
    <t xml:space="preserve">Food Safety and Inspection Service (FSIS) is establishing 1 January 2028, as the uniform compliance date for new meat and poultry product labeling regulations that will be issued between 1 January 2025, and 31 December 2026. FSIS periodically announces uniform compliance dates for new meat and poultry product labeling regulations to minimize the economic impact of label changes.Effective date: This action is effective 27 November 2024.    Compliance date: The uniform compliance date for new meat and poultry product labeling regulations that will be issued between 1 January 2025, and 31 December 2026, is 1 January 2028.    Comments due date: Comments on this final action must be received on or before 27 December 2024.89 Federal Register (FR) 93470, 27 November 2024; Title 9 Code of Federal Regulations (CFR) Parts 317 and 381_x000D_
https://www.govinfo.gov/content/pkg/FR-2024-11-27/html/2024-27864.htm_x000D_
https://www.govinfo.gov/content/pkg/FR-2024-11-27/pdf/2024-27864.pdf_x000D_
This final action and the final rule notified as G/TBT/N/USA/1434/Add.2 are identified by Docket Number FSIS-2022-0016. The Docket Folder is available on Regulations.gov at https://www.regulations.gov/docket/FSIS-2022-0016/document and provides access to primary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27 December 2024 will be shared with FSIS and will also be submitted to the Docket on Regulations.gov if received within the comment period.</t>
  </si>
  <si>
    <t>Food labeling</t>
  </si>
  <si>
    <t>67.040 - Food products in general; 67.040 - Food products in general; 67.120 - Meat, meat products and other animal produce; 67.120 - Meat, meat products and other animal produce</t>
  </si>
  <si>
    <d:r xmlns:d="http://schemas.openxmlformats.org/spreadsheetml/2006/main">
      <d:rPr>
        <d:sz val="11"/>
        <d:rFont val="Calibri"/>
      </d:rPr>
      <d:t xml:space="preserve">https://members.wto.org/crnattachments/2024/TBT/USA/final_measure/24_08094_00_e.pdf</d:t>
    </d:r>
  </si>
  <si>
    <t>Israel</t>
  </si>
  <si>
    <t>SI 16232: Child use and care articles - Infant swings</t>
  </si>
  <si>
    <t>The declaration of SI 16232 as a Mandatory Standard was published on 26 November 2024 in Israel's Official Gazette, Section of Government Notice no. 11555 and will enter into force on 26 March 2025.</t>
  </si>
  <si>
    <t>Infant swings</t>
  </si>
  <si>
    <t>97.190 - Equipment for children; 97.190 - Equipment for children</t>
  </si>
  <si>
    <d:r xmlns:d="http://schemas.openxmlformats.org/spreadsheetml/2006/main">
      <d:rPr>
        <d:sz val="11"/>
        <d:rFont val="Calibri"/>
      </d:rPr>
      <d:t xml:space="preserve">https://www.sii.org.il/en/standards-search</d:t>
    </d:r>
  </si>
  <si>
    <t>Draft: Regulations relating to maximum levels of mycotoxins in foodstuffs</t>
  </si>
  <si>
    <t>The draft aims to establish regulations for the maximum levels of mycotoxins in certain foodstuffs. The Department of Health regulates this under the Foodstuffs, Cosmetics, and Disinfectants Act of 1972 (Act No. 54 of 1972).</t>
  </si>
  <si>
    <t>Dairy produce; birds' eggs; natural honey; edible products of animal origin, not elsewhere specified or included (HS code(s): 04); Edible vegetables and certain roots and tubers (HS code(s): 07); Edible fruit and nuts; peel of citrus fruit or melons (HS code(s): 08); Cereals (HS code(s): 10); Products of the milling industry; malt; starches; inulin; wheat gluten (HS code(s): 11); Oil seeds and oleaginous fruits; miscellaneous grains, seeds and fruit; industrial or medicinal plants; straw and fodder (HS code(s): 12); Beverages, spirits and vinegar (HS code(s): 22)</t>
  </si>
  <si>
    <t>04 - Dairy produce; birds' eggs; natural honey; edible products of animal origin, not elsewhere specified or included; 08 - Edible fruit and nuts; peel of citrus fruit or melons; 10 - Cereals; 07 - Edible vegetables and certain roots and tubers; 11 - Products of the milling industry; malt; starches; inulin; wheat gluten; 12 - Oil seeds and oleaginous fruits; miscellaneous grains, seeds and fruit; industrial or medicinal plants; straw and fodder; 22 - Beverages, spirits and vinegar</t>
  </si>
  <si>
    <t>13 - Environment. Health protection. Safety; 65 - Agriculture; 67 - Food technology</t>
  </si>
  <si>
    <t>Human health; Food safety; Mycotoxins; Toxins</t>
  </si>
  <si>
    <d:r xmlns:d="http://schemas.openxmlformats.org/spreadsheetml/2006/main">
      <d:rPr>
        <d:sz val="11"/>
        <d:rFont val="Calibri"/>
      </d:rPr>
      <d:t xml:space="preserve">https://members.wto.org/crnattachments/2024/SPS/ZAF/24_08085_00_e.pdf</d:t>
    </d:r>
  </si>
  <si>
    <t>Regulation of the Minister of Marine Affairs and Fisheries (MMAF) of the Republic of Indonesia No. 16 Year 2024 concerning Authority of Guidance and to Control in the Framework of Issuing Quality and Safety Assurance Certificates of fishery products issue in Indonesia</t>
  </si>
  <si>
    <t>This regulation has stipulated that the Marine and Fisheries Quality Assurance Agency/MFQAA (as the Competent Authority responsible for the quality and safety of fish and fisheries products in Indonesia as previously notified WTO G/SPS/N/IDN/147 dated 5 December 2023) has the authority to conduct Inspection and certification as well as official control of quality and safety of fish and fishery products from upstream to downstream level in following the certification scheme of the fishery sector in Indonesia as the baseline to issue Certificate of Quality and Safety Assurance for Fish and Fishery Product by MFQAA. The Certificate consists of:Good Handling Practices (including onboard fishing vessels)Good Hatchery PracticesGood Aquaculture PracticesGood Fish-Feed Production PracticesGood Fish-Drugs Production PracticesGood Fish-Drugs Distribution PracticesGood Manufacturing PracticesHazard Analysis Critical Control Point/HACCP (including onboard fishing vessel)Good Fish/Fishery Product Distribution Practices</t>
  </si>
  <si>
    <t>Fish and fisheries product</t>
  </si>
  <si>
    <t>03 - FISH AND CRUSTACEANS, MOLLUSCS AND OTHER AQUATIC INVERTEBRATES</t>
  </si>
  <si>
    <d:r xmlns:d="http://schemas.openxmlformats.org/spreadsheetml/2006/main">
      <d:rPr>
        <d:sz val="11"/>
        <d:rFont val="Calibri"/>
      </d:rPr>
      <d:t xml:space="preserve">https://members.wto.org/crnattachments/2024/SPS/IDN/24_07861_00_x.pdf</d:t>
    </d:r>
  </si>
  <si>
    <t>Following the WOAH report dated 15 November 2024, a Highly Pathogenic Avian Influenza (HPAI) virus outbreak has occurred in Landes in France. In compliance with the World Organisation for Animal Health (WOAH), Terrestrial Animal Health Code Chapter 10.4, it is deemed necessary for the Kingdom of Saudi Arabia to prevent the entry of the HPAI virus into the country. Therefore, the import of poultry meat, eggs and their products from Landes in France to the Kingdom of Saudi Arabia is temporarily suspended (with the exception of processed poultry meat and egg products exposed to either heat or other treatments that ensure deactivation of the HPAI virus, as long as it conforms with the approved health requirements, and standards, with a health certificate issued by the official bodies in France prove that the product is free from the virus).</t>
  </si>
  <si>
    <d:r xmlns:d="http://schemas.openxmlformats.org/spreadsheetml/2006/main">
      <d:rPr>
        <d:sz val="11"/>
        <d:rFont val="Calibri"/>
      </d:rPr>
      <d:t xml:space="preserve">https://members.wto.org/crnattachments/2024/SPS/SAU/24_08096_00_x.pdf</d:t>
    </d:r>
  </si>
  <si>
    <t>SI 12790 - Reclined cradles</t>
  </si>
  <si>
    <t>The declaration of SI 12790 as a Mandatory Standard was published on 26 November 2024 in Israel's Official Gazette, Section of Government Notice no. 11555 and will enter into force on 26 March 2025.</t>
  </si>
  <si>
    <t>Reclined cradles</t>
  </si>
  <si>
    <t>9401 - Seats, whether or not convertible into beds, and parts thereof, n.e.s. (excl. medical, surgical, dental or veterinary of heading 9402); 9403 - Furniture and parts thereof, n.e.s. (excl. seats and medical, surgical, dental or veterinary furniture); 9403 - Furniture and parts thereof, n.e.s. (excl. seats and medical, surgical, dental or veterinary furniture); 9401 - Seats, whether or not convertible into beds, and parts thereof, n.e.s. (excl. medical, surgical, dental or veterinary of heading 9402)</t>
  </si>
  <si>
    <t>Ministry for Primary Industries, Import Health Standard: Seeds for Sowing (155.02.05)</t>
  </si>
  <si>
    <t>MPI is proposing to remove the following pests and any specific measures for these pests in the specific requirements in Part 2 in the Import Health Standard Seeds for Sowing (155.02.05):Pseudomonas syringae pv. cannabina and Xanthomonas campestris pv. cannabis from the Cannabis sativa schedule;Strawberry latent ringspot virus (strains not in New Zealand) from the Fragaria schedule;Septoria helianthi from the Helianthus schedule;Coniothyrium lavandulae and Phoma lavandulae from the Lavandula schedule. This change results in the removal of the Lavandula schedule from Part 2 in the import health standard and changes the import requirements for Lavandula seeds to basic requirements;Penicillium brevicompactum from the Pinus schedule;Plum pox virus from the Prunus schedule;Tobacco ringspot virus from the Solanum tuberosum schedule;Tarsonemus granarius from the Triticum schedule;High plains virus from the Zea schedule.</t>
  </si>
  <si>
    <t>Cannabis sativaFragariaHelianthusLavandulaPinusPrunusSolanum tuberosumTriticum and Zea seeds for sowing</t>
  </si>
  <si>
    <t>120999 - Seeds, fruits and spores, for sowing (excl. leguminous vegetables and sweetcorn, coffee, tea, maté and spices, cereals, oil seeds and oleaginous fruits, beets, forage plants, vegetable seeds, and seeds of herbaceous plants cultivated mainly for flowers or used primarily in perfumery, medicaments or for insecticidal, fungicidal or similar purposes); 100191 - Seed of wheat and meslin, for sowing (excl. durum); 070110 - Seed potatoes</t>
  </si>
  <si>
    <d:r xmlns:d="http://schemas.openxmlformats.org/spreadsheetml/2006/main">
      <d:rPr>
        <d:sz val="11"/>
        <d:rFont val="Calibri"/>
      </d:rPr>
      <d:t xml:space="preserve">https://members.wto.org/crnattachments/2024/SPS/NZL/24_08089_00_e.pdf
https://members.wto.org/crnattachments/2024/SPS/NZL/24_08089_01_e.pdf</d:t>
    </d:r>
  </si>
  <si>
    <t>Draft Sanitation Standard for Contaminants and Toxins in Food</t>
  </si>
  <si>
    <t>The Separate Customs Territory of Taiwan, Penghu, Kinmen and Matsu announces that the Draft Sanitation Standard for Contaminants and Toxins in Food, dated 14 August 2024 (G/SPS/N/TPKM/630) has now been finalized. The final version of the Standard had entered into force on 28 November 2024.</t>
  </si>
  <si>
    <t>Chocolate and  cocoa powder</t>
  </si>
  <si>
    <t>180500 - Cocoa powder, not containing added sugar or other sweetening matter; 1806 - Chocolate and other food preparations containing cocoa; 180610 - Cocoa powder, sweetened; 180610 - Cocoa powder, sweetened; 1806 - Chocolate and other food preparations containing cocoa; 180500 - Cocoa powder, not containing added sugar or other sweetening matter</t>
  </si>
  <si>
    <t>Human health; Food safety; Adoption/publication/entry into force of reg.; Heavy metals; Maximum residue limits (MRLs); Contaminants; Heavy metals; Food safety; Human health; Maximum residue limits (MRLs); Contaminants</t>
  </si>
  <si>
    <d:r xmlns:d="http://schemas.openxmlformats.org/spreadsheetml/2006/main">
      <d:rPr>
        <d:sz val="11"/>
        <d:rFont val="Calibri"/>
      </d:rPr>
      <d:t xml:space="preserve">https://members.wto.org/crnattachments/2024/SPS/TPKM/24_08091_00_e.pdf
https://members.wto.org/crnattachments/2024/SPS/TPKM/24_08091_00_x.pdf</d:t>
    </d:r>
  </si>
  <si>
    <t>SI 5438 part 12 - Chemicals used for treatment of water intended for human consumption: Calcium carbonate </t>
  </si>
  <si>
    <t>Revision of the Mandatory Standard SI 5438 part 12 deals with calcium carbonate used to treat water intended for human consumption. This proposed standard revision adopts the European Standard EN 1018: June 2021, with a few changes that appear in the standard's Hebrew section.  The major differences between the old version and this new revised draft standard are as follows:Adds to Section 7.3, dealing with transportation regulation and labelling, a requirement that users shall be aware of incompatibilities between transported products;Adds to Section 7.4, dealing with marking, a new marking requirement that applies also to the accompanying documents;Changes the composition requirements for porous products (Table 1) and their impurities (Table 2).After completion of the revision, the requirements of all sections of the revised standard will be mandatory, except in the national deviations to Section 7.4, the addition of the word “for drinking water treatment.”</t>
  </si>
  <si>
    <t>Calcium carbonate for treatment of water intended for human consumption (HS code(s): 283650); (ICS code(s): 71.100.80)</t>
  </si>
  <si>
    <t>283650 - Calcium carbonate</t>
  </si>
  <si>
    <t>71.100.80 - Chemicals for purification of water</t>
  </si>
  <si>
    <d:r xmlns:d="http://schemas.openxmlformats.org/spreadsheetml/2006/main">
      <d:rPr>
        <d:sz val="11"/>
        <d:rFont val="Calibri"/>
      </d:rPr>
      <d:t xml:space="preserve">https://members.wto.org/crnattachments/2024/TBT/ISR/24_08093_00_x.pdf</d:t>
    </d:r>
  </si>
  <si>
    <t>Draft Indonesian Food and Drug Authority Regulation concerning Food Packaging</t>
  </si>
  <si>
    <t>This regulation is the revised version of the Regulation of the Indonesian FDA Number 20 Year 2019 on Food Packaging. Once this new regulation is enacted, the previous regulation (Regulation of Indonesian FDA Number 20 Year 2019 on Food Packaging) will be revoked.This regulation sets out permitted food packaging materials (migration level), general migration testing method, permitted food contact substances, prohibited food contact substances, recycled packaging material, application form for unlisted substances.This regulation contains six appendixes as follows:Appendix I. Listed of Permitted Food Packaging MaterialsAppendix II. General Migration Testing MethodAppendix III. Migration Testing of Plastic Food Packaging Materials Intended for ReuseAppendix IV. Listed of Permitted Food Contact Substances for Food PackagingAppendix V. Listed of Prohibited Food Contact Substances for Food PackagingAppendix VI. Application Form for the Safety of Food Packaging</t>
  </si>
  <si>
    <t>Food packaging, processed food</t>
  </si>
  <si>
    <t>Food safety; Human health; Packaging</t>
  </si>
  <si>
    <d:r xmlns:d="http://schemas.openxmlformats.org/spreadsheetml/2006/main">
      <d:rPr>
        <d:sz val="11"/>
        <d:rFont val="Calibri"/>
      </d:rPr>
      <d:t xml:space="preserve">https://members.wto.org/crnattachments/2024/SPS/IDN/24_07823_00_x.pdf</d:t>
    </d:r>
  </si>
  <si>
    <t>Qatar</t>
  </si>
  <si>
    <t>Electrical Clothes Washing Machines - Energy and water performance requirements</t>
  </si>
  <si>
    <t>This technical regulation specifies the performance and energy requirements for electric clothes washing machines with a capacity up to 25 kg, in order that it may carry a valid energy efficiency label.</t>
  </si>
  <si>
    <t>Laundry appliances (ICS code(s): 97.060)</t>
  </si>
  <si>
    <t>97.060 - Laundry appliances</t>
  </si>
  <si>
    <t>Consumer information, labelling (TBT); Prevention of deceptive practices and consumer protection (TBT); Protection of the environment (TBT); Quality requirements (TBT); Cost saving and productivity enhancement (TBT)</t>
  </si>
  <si>
    <d:r xmlns:d="http://schemas.openxmlformats.org/spreadsheetml/2006/main">
      <d:rPr>
        <d:sz val="11"/>
        <d:rFont val="Calibri"/>
      </d:rPr>
      <d:t xml:space="preserve">https://members.wto.org/crnattachments/2024/TBT/QAT/24_08095_00_e.pdf</d:t>
    </d:r>
  </si>
  <si>
    <t>Türkiye</t>
  </si>
  <si>
    <t>Turkish Food Codex Communiqué on Sugar</t>
  </si>
  <si>
    <t>The Turkish Food Codex Communiqué on Sugar was notified in G/TBT/N/TUR/121 ; It was amended with the notification G/TBT/N/TUR/121/Add.1 and was proposed to be amended through G/TBT/N/TUR/121/Add.2. Now, this Communiqué was published in the Official Gazette dated 23 November 2024. The Communiqué can be downloaded from the below address.https://www.resmigazete.gov.tr/eskiler/2024/11/20241123-4.htm</t>
  </si>
  <si>
    <t>Sugar</t>
  </si>
  <si>
    <t>67.180.10 - Sugar and sugar products; 67.180.10 - Sugar and sugar products</t>
  </si>
  <si>
    <t>Phytosanitary requirements for the importation of Timothy hay (Phleum pratense) compressed in bags, for animal consumption, originating in and coming from Canada The final phytosanitary requirements for the importation into Mexico of Timothy hay (Phleum pratense) compressed in bags, for animal consumption, originating in and coming from Canada, are hereby notified. The final measure can be viewed using combination key (clave de combinación) 2309-101-4611-CAN-CAN at: https://sistemasssl.senasica.gob.mx/mcrfi. https://members.wto.org/crnattachments/2024/SPS/MEX/24_08092_00_s.pdf</t>
  </si>
  <si>
    <t>Timothy hay (Phleum pratense)</t>
  </si>
  <si>
    <d:r xmlns:d="http://schemas.openxmlformats.org/spreadsheetml/2006/main">
      <d:rPr>
        <d:sz val="11"/>
        <d:rFont val="Calibri"/>
      </d:rPr>
      <d:t xml:space="preserve">https://members.wto.org/crnattachments/2024/SPS/MEX/24_08092_00_s.pdf
La medida definitiva puede consultarse bajo la clave de combinación 2309-101-4611-CAN-CAN en el siguiente enlace: https://sistemasssl.senasica.gob.mx/mcrfi.</d:t>
    </d:r>
  </si>
  <si>
    <t>Draft Regulation of the National Food Agency of the Republic of Indonesia on Maximum Residue Limits of Pesticide in Primary Foods on the Markets</t>
  </si>
  <si>
    <t>This Regulation is intended to serve as a standard or reference for food business operators, who wish to distribute/sell primary food commodities in the domestic market of Indonesia.This regulation specifies the maximum residue limits (MRLs) of pesticides for primary food commodities of plant origin. As Appendix I, MRLs are determined for 347 active substances of pesticides. If active substance of pesticides is not listed in Appendix I, then MRLs standard applied is 0.01 mg/kg.Compliance with MRLs would be determined by qualitative laboratory tests (screening test) followed with quantitative laboratory test for detected active substances.Additionally, Appendix II also specifies portion of primary food commodity used for laboratory testing.The date of entry into force is the same as the date of publication. However, there is a grace period of 18 months for products that have been put in the market before the publication date.</t>
  </si>
  <si>
    <t>Primary food commodities of plant origin</t>
  </si>
  <si>
    <d:r xmlns:d="http://schemas.openxmlformats.org/spreadsheetml/2006/main">
      <d:rPr>
        <d:sz val="11"/>
        <d:rFont val="Calibri"/>
      </d:rPr>
      <d:t xml:space="preserve">https://members.wto.org/crnattachments/2024/SPS/IDN/24_07520_00_x.pdf</d:t>
    </d:r>
  </si>
  <si>
    <t>Proposed measures to manage Xylella fastidiosa on plants for planting</t>
  </si>
  <si>
    <t>The New Zealand Ministry for Primary Industries (MPI) is proposing the following changes to the Importation of Nursery Stock import health standard:Addition of X. fastidiosa to the quarantine pest list of 27 new plant host species/genera;Removal of X. fastidiosa from the quarantine pest list of 10 plant genera;Amendment of current measures for the management of X. fastidiosa in sections 2.2.1.12 and 2.2.5 of the standard, for plant hosts imported from countries considered not to be free from X. fastidiosa by MPI (and for plants in vitro where the country of origin is different to the parent plants);Amendment to current measures for the management of X. fastidiosa in sections 2.2.1.12 and 2.2.5 of the standard, for plant hosts imported from countries considered to be free from X. fastidiosa by MPI (and for plants in vitro where the country of origin is the same as the parent plants, which is free from the bacterium).Further details are provided in the Risk Management Proposal.</t>
  </si>
  <si>
    <t>Plants for planting, including whole plants, cuttings, bulbs and plants in vitro (tissue cultures)</t>
  </si>
  <si>
    <t>0602 - Live plants incl. their roots, cuttings and slips; mushroom spawn (excl. bulbs, tubers, tuberous roots, corms, crowns and rhizomes, and chicory plants and roots); 0601 - Bulbs, tubers, tuberous roots, corms, crowns and rhizomes, dormant, in growth or in flower, chicory plants and roots (excl. bulbs, tubers and tuberous roots used for human consumption and chicory roots of the variety cichorium intybus sativum)</t>
  </si>
  <si>
    <d:r xmlns:d="http://schemas.openxmlformats.org/spreadsheetml/2006/main">
      <d:rPr>
        <d:sz val="11"/>
        <d:rFont val="Calibri"/>
      </d:rPr>
      <d:t xml:space="preserve">https://members.wto.org/crnattachments/2024/SPS/NZL/24_08090_00_e.pdf
https://members.wto.org/crnattachments/2024/SPS/NZL/24_08090_01_e.pdf</d:t>
    </d:r>
  </si>
  <si>
    <t>Household Refrigerating and freezers Appliances - Energy performance and Testing Requirements</t>
  </si>
  <si>
    <t>This technical regulation covers brand new household refrigerators, freezers, and refrigerator-freezers having a capacity of not more than 1,500 liters.</t>
  </si>
  <si>
    <t>97.030 - Domestic electrical appliances in general</t>
  </si>
  <si>
    <d:r xmlns:d="http://schemas.openxmlformats.org/spreadsheetml/2006/main">
      <d:rPr>
        <d:sz val="11"/>
        <d:rFont val="Calibri"/>
      </d:rPr>
      <d:t xml:space="preserve">https://members.wto.org/crnattachments/2024/TBT/QAT/24_08084_00_e.pdf</d:t>
    </d:r>
  </si>
  <si>
    <t>DRAFT BELIZE STANDARD SPECIFICATION FOR LABELLING PART 3: LABELLING OF PREPACKAGED FOOD (REVISION)</t>
  </si>
  <si>
    <t>This standard has been revised in an effort to align with best practices as well as to prevent fraud and deception arising from misleading labelling, as well as to provide adequate information to the consumer or user of prepackaged foods. This revised standard includes inclusion of nutritional facts; allergen labelling and language requirements for products labelled in Spanish and English. All manufacturers, importers, exporters, distributors and other entities engaged in the production and or trade of pre-packaged foods in Belize shall comply with the requirements of this standard. It is expected that this standard will assist Belize manufacturers in meeting the labelling requirements of regional and extra-regional markets.</t>
  </si>
  <si>
    <t>Prepackaged and prepared foods (ICS code(s): 67.230)This standard applies to the labelling of all pre-packaged foods to be offered to the consumer or for catering purposes.</t>
  </si>
  <si>
    <t>67.230 - Prepackaged and prepared foods</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</si>
  <si>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t>
  </si>
  <si>
    <t>Proposed Maximum Residue Limit: Florylpicoxamid (PMRL2024-25)</t>
  </si>
  <si>
    <t>The objective of the notified document PMRL2024-25 is to consult on the listed maximum residue limit (MRL) for florylpicoxamid that has been proposed by Health Canada’s Pest Management Regulatory Agency (PMRA).MRL (ppm)1 Raw Agricultural Commodity (RAC) and/or Processed Commodity0.03            Barley (crop subgroup 15-21B)1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</si>
  <si>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florylpicoxamid in or on barley (crop subgroup 15-21B) (ICS codes: 65.020, 65.100, 67.040, 67.060) </t>
  </si>
  <si>
    <t>65.020 - Farming and forestry; 65.100 - Pesticides and other agrochemicals; 67.040 - Food products in general; 67.060 - Cereals, pulses and derived products</t>
  </si>
  <si>
    <t>Reglamento Técnico Salvadoreño -RTS- 17.03.01:24 ETILÓMETROS UTILIZADOS PARA MEDICIÓN DE ETANOL A TRAVÉS DE AIRE ESPIRADO. REQUISITOS TÉCNICOS, METROLOGÍCOS Y ADMINISTRATIVOS (Salvadoran Technical Regulation (RTS) No. 17.03.01:24: "Alcohol meters used to measure ethanol in exhaled air. Technical, metrological and administrative requirements") (21 pages, in Spanish)</t>
  </si>
  <si>
    <t>The notified Salvadoran Technical Regulation sets out the technical, metrological and administrative requirements to be met by alcohol meters that automatically determine the concentration of ethanol in the blood by measuring its mass concentration in exhaled air, for punitive purposes or otherwise. It applies to alcohol meters marketed in the country that automatically determine the concentration of ethanol in the blood by measuring its mass concentration in exhaled air, for punitive purposes or otherwise.</t>
  </si>
  <si>
    <t>Metrology and measurement in general (ICS code: 17.020)</t>
  </si>
  <si>
    <t>17.020 - Metrology and measurement in general</t>
  </si>
  <si>
    <d:r xmlns:d="http://schemas.openxmlformats.org/spreadsheetml/2006/main">
      <d:rPr>
        <d:sz val="11"/>
        <d:rFont val="Calibri"/>
      </d:rPr>
      <d:t xml:space="preserve">https://members.wto.org/crnattachments/2024/TBT/SLV/24_07959_00_s.pdf</d:t>
    </d:r>
  </si>
  <si>
    <t>Pesticides; Draft Guidance; Evaluating the Efficacy of Pre- Saturated/Impregnated Antimicrobial Towelettes for Disinfection Claims; Notice of Availability and Request for Comment</t>
  </si>
  <si>
    <t xml:space="preserve">The Environmental Protection Agency is 
announcing the availability of and soliciting comment on its draft 
guidance for adding disinfectant efficacy claims against bacteria to 
antimicrobial towelettes for use on hard non-porous surfaces. 
Specifically, the guidance document describes a pathway for efficacy 
testing using a new standardized method designed specifically for 
antimicrobial towelettes, how to prepare an application for 
registration, and regulatory guidance for pesticidal claims for those 
products. </t>
  </si>
  <si>
    <t>Antimicrobial products intended to treat bacterial public health pathogens with pre-saturated/impregnated towelettes on hard, non-porous surfaces</t>
  </si>
  <si>
    <d:r xmlns:d="http://schemas.openxmlformats.org/spreadsheetml/2006/main">
      <d:rPr>
        <d:sz val="11"/>
        <d:rFont val="Calibri"/>
      </d:rPr>
      <d:t xml:space="preserve">https://www.govinfo.gov/content/pkg/FR-2024-11-20/html/2024-27058.htm</d:t>
    </d:r>
  </si>
  <si>
    <t>The Turkish Food Codex Communiqué on Sugar was notified in G/SPS/N/TUR/101, was amended with the notification G/SPS/N/TUR/101/Add.1 and it was proposed to be amended through G/SPS/N/TUR/101/Add.2.Now, this Communiqué was published in the Official Gazette dated 23 November 2024. The Communiqué can be downloaded from the address below:</t>
  </si>
  <si>
    <t>1701 - Cane or beet sugar and chemically pure sucrose, in solid form; 1702 - Other sugars, incl. chemically pure lactose, maltose, glucose and fructose, in solid form; sugar syrups not containing added flavouring or colouring matter; artificial honey, whether or not mixed with natural honey; caramel; 1702 - Other sugars, incl. chemically pure lactose, maltose, glucose and fructose, in solid form; sugar syrups not containing added flavouring or colouring matter; artificial honey, whether or not mixed with natural honey; caramel; 1701 - Cane or beet sugar and chemically pure sucrose, in solid form</t>
  </si>
  <si>
    <t>Human health; Adoption/publication/entry into force of reg.; Food safety; Human health; Food safety</t>
  </si>
  <si>
    <d:r xmlns:d="http://schemas.openxmlformats.org/spreadsheetml/2006/main">
      <d:rPr>
        <d:sz val="11"/>
        <d:rFont val="Calibri"/>
      </d:rPr>
      <d:t xml:space="preserve">https://members.wto.org/crnattachments/2024/SPS/TUR/24_08079_00_x.pdf
https://www.resmigazete.gov.tr/eskiler/2024/11/20241123-4.htm</d:t>
    </d:r>
  </si>
  <si>
    <t>Recommended Specification for Acrylamide in Food</t>
  </si>
  <si>
    <t xml:space="preserve">Commodity/Product and Recommended Specification for Acrylamide:_x000D_
The recommended specification for processed cereal products and ready-to-eat foods have been revised to apply only to roasted, baked, or fried._x000D_
 Operating period: From 1 February 2025_x000D_
 Action for Exceeding Recommended Specification_x000D_
1. Encourage manufacturers, processors and importers of products exceeding the recommended specification to comply with and improve the recommended specification (notify inspection results to manufacturers, processors, or importers, refrain from importing the products, etc.)_x000D_
2. Disclosure of information** when improvement measures are not implemented* for products exceeding the recommended Specification_x000D_
* (Distribution food) Determined after six month in collection and inspection of same product / (Imported food) Exceeded recommended Specification twice or more._x000D_
** Food Safety Korea website (MFDS)&gt; Professional information&gt; Products exceeding the recommended Specification.Acts and subordinate statutes for Recommended SpecificationArticle 7-2 of the Food Sanitation Act (Illustrations of Recommended Specification, etc.)</t>
  </si>
  <si>
    <t>Foods</t>
  </si>
  <si>
    <d:r xmlns:d="http://schemas.openxmlformats.org/spreadsheetml/2006/main">
      <d:rPr>
        <d:sz val="11"/>
        <d:rFont val="Calibri"/>
      </d:rPr>
      <d:t xml:space="preserve">https://members.wto.org/crnattachments/2024/SPS/KOR/24_08077_00_x.pdf</d:t>
    </d:r>
  </si>
  <si>
    <t>Control of Non-Volatile Particulate Matter From Aircraft Engines: Emission Standards and Test Procedures</t>
  </si>
  <si>
    <t>Final rule; confirmation of effective date and response to public comments - This action confirms the effective date of the final rule published on 24 April 2024 (G/TBT/N/USA/2116), and responds to the comments received on that final rule. The FAA published a correction on 7 May 2024  (G/TBT/N/USA/2116/Corr.1), to the final rule that established a compliance date of 90 days after the effective date. The rule adopts standards for measuring non-volatile particulate matter (nvPM) exhaust emissions from aircraft engines. With this rulemaking, the FAA implemented the nvPM emissions standards adopted by the Environmental Protection Agency (EPA), allowing manufacturers to certificate engines to the new nvPM emissions standards in the United States, and fulfilling the statutory obligations of the FAA under the Clean Air Act.89 Federal Register (FR) 92787, 25 November 2024; Title 14 Code of Federal Regulations (CFR) Part 34https://www.govinfo.gov/content/pkg/FR-2024-11-25/html/2024-27390.htmhttps://www.govinfo.gov/content/pkg/FR-2024-11-25/pdf/2024-27390.pdfThis and previous actions notified under the symbol G/TBT/N/USA/2116 are identified by Docket Number FAA-2023-2434. The Docket Folder is available on Regulations.gov at https://www.regulations.gov/docket/FAA-2023-2434/document and provides access to primary and supporting documents as well as comments received. Documents are also accessible from Regulations.gov by searching the Docket Number. </t>
  </si>
  <si>
    <t>Non-volatile particulate matter from aircraft engines; Quality (ICS code(s): 03.120); Environmental protection (ICS code(s): 13.020); Air quality (ICS code(s): 13.040); Test conditions and procedures in general (ICS code(s): 19.020); Aircraft and space vehicles in general (ICS code(s): 49.020)</t>
  </si>
  <si>
    <t>03.120 - Quality; 13.020 - Environmental protection; 13.040 - Air quality; 19.020 - Test conditions and procedures in general; 49.020 - Aircraft and space vehicles in general; 03.120 - Quality; 13.020 - Environmental protection; 13.040 - Air quality; 19.020 - Test conditions and procedures in general; 49.020 - Aircraft and space vehicles in general</t>
  </si>
  <si>
    <d:r xmlns:d="http://schemas.openxmlformats.org/spreadsheetml/2006/main">
      <d:rPr>
        <d:sz val="11"/>
        <d:rFont val="Calibri"/>
      </d:rPr>
      <d:t xml:space="preserve">https://members.wto.org/crnattachments/2024/TBT/USA/final_measure/24_08082_00_e.pdf</d:t>
    </d:r>
  </si>
  <si>
    <t>Pesticide Registration Maintenance Fee; Notice of Receipt of Requests To Voluntarily Cancel Certain Pesticide Registrations and Notice of Intent To Cancel Certain Other Pesticide Registrations for Non-Payment</t>
  </si>
  <si>
    <t xml:space="preserve">EPA is issuing a notice of receipt of requests by registrants, 
submitted as part of their 2024 Pesticide Registration Maintenance Fee 
responses, to voluntarily cancel certain pesticide registrations. EPA 
intends to grant these requests to cancel at the close of the comment 
period for this announcement unless the Agency receives substantive 
comments within the comment period that would merit its further review 
of the requests to cancel, or unless the registrants withdraw its 
requests to cancel. If these requests to cancel are granted, any sale, 
distribution, or use of products listed in this notice will be 
permitted after the registrations have been cancelled only if such 
sale, distribution, or use is consistent with the terms as described in 
the final order. Additionally, EPA is issuing a notice of intent to 
cancel other pesticide product registrations as a result of 
registrants' non-payment of 2024 Pesticide Registration Maintenance 
Fees. </t>
  </si>
  <si>
    <t>Certain pesticide product registrations</t>
  </si>
  <si>
    <d:r xmlns:d="http://schemas.openxmlformats.org/spreadsheetml/2006/main">
      <d:rPr>
        <d:sz val="11"/>
        <d:rFont val="Calibri"/>
      </d:rPr>
      <d:t xml:space="preserve">https://www.govinfo.gov/content/pkg/FR-2024-11-19/html/2024-26931.htm</d:t>
    </d:r>
  </si>
  <si>
    <t>Federal Motor Vehicle Safety Standards: Automatic Emergency Braking Systems for Light Vehicles</t>
  </si>
  <si>
    <t>Final rule; response to petitions for reconsideration - This document grants parts of petitions for reconsideration of a 9 May 2024, final rule (G/TBT/N/USA/2007/Add.1) that adopted Federal Motor Vehicle Safety Standard (FMVSS) No. 127, “Automatic Emergency Braking for Light Vehicles,” which requires automatic emergency braking (AEB), pedestrian automatic emergency braking (PAEB), and forward collision warning (FCW) systems on all new light vehicles. This final rule clarifies requirements applicable to FCW visual signals and audio signals, corrects an error in the test scenario for obstructed pedestrian crossing the road, and removes superfluous language from the performance test requirement for lead vehicle AEB. This notice denies other requests in the petitions. This document also denies a petition for reconsideration, which is treated as a petition for rulemaking because it was received more than 45 days after publication of the rule.Effective: 27 January 2025.Compliance date: Compliance with FMVSS No. 127 and related regulations, as amended in this rule, is required for all vehicles by 1 September 2029. However, vehicles produced by small-volume manufacturers, final-stage manufacturers, and alterers must be equipped with a compliant AEB system by 1 September 2030.89 Federal Register (FR) 93199, 26 November 2024; Title 49 Code of Federal Regulations (CFR) Parts 571595, and 596https://www.govinfo.gov/content/pkg/FR-2024-11-26/html/2024-27349.htmhttps://www.govinfo.gov/content/pkg/FR-2024-11-26/pdf/2024-27349.pdfPetitions for reconsideration: Petitions for reconsideration of this final action must be received not later than 10 January 2025.This and previous actions notified under the symbol G/TBT/N/USA/2007 are identified by Docket Number NHTSA-2023-0021. The Docket Folder is available on Regulations.gov at https://www.regulations.gov/docket/NHTSA-2023-0021/document and provides access to primary and supporting documents as well as comments received. Documents are also accessible from Regulations.gov by searching the Docket Number. WTO Members and their stakeholders are asked to submit petitions for reconsideration to the USA TBT Enquiry Point by or before 4pmEastern Time on 10 January 2025. Petitions for reconsideration received by the USA TBT Enquiry Point from WTO Members and their stakeholders will be shared with NHTSA.</t>
  </si>
  <si>
    <t>03.120 - Quality; 43.040.40 - Braking systems; 03.120 - Quality; 43.040.40 - Braking systems</t>
  </si>
  <si>
    <d:r xmlns:d="http://schemas.openxmlformats.org/spreadsheetml/2006/main">
      <d:rPr>
        <d:sz val="11"/>
        <d:rFont val="Calibri"/>
      </d:rPr>
      <d:t xml:space="preserve">https://members.wto.org/crnattachments/2024/TBT/USA/final_measure/24_08081_00_e.pdf</d:t>
    </d:r>
  </si>
  <si>
    <t>Draft: Regulations relating to the use of food additives in foodstuffs in terms of the Foodstuffs, Cosmetics and Disinfectants Act, 1972 (Act No. 54 of 1972)</t>
  </si>
  <si>
    <t>The draft aims to establish regulations for the use of food additives in food products, including setting maximum limits for these additives. This will be regulated by the Department of Health in accordance with the Foodstuffs, Cosmetics, and Disinfectants Act of 1972 (Act No. 54 of 1972).</t>
  </si>
  <si>
    <t>Meat and edible meat offal (HS code(s): 02); Dairy produce; birds' eggs; natural honey; edible products of animal origin, not elsewhere specified or included (HS code(s): 04); Products of animal origin, not elsewhere specified or included (HS code(s): 05); Edible vegetables and certain roots and tubers (HS code(s): 07); Edible fruit and nuts; peel of citrus fruit or melons (HS code(s): 08); Coffee, tea, mate and spices (HS code(s): 09); Cereals (HS code(s): 10); Oil seeds and oleaginous fruits; miscellaneous grains, seeds and fruit; industrial or medicinal plants; straw and fodder (HS code(s): 12); Vegetable plaiting materials; vegetable products not elsewhere specified or included (HS code(s): 14); Animal or vegetable fats and oils and their cleavage products; prepared edible fats; animal or vegetable waxes (HS code(s): 15); Preparations of meat, of fish or of crustaceans, molluscs or other aquatic invertebrates (HS code(s): 16); Sugars and sugar confectionery (HS code(s): 17); Cocoa and cocoa preparations (HS code(s): 18); Preparations of cereals, flour, starch or milk; pastrycooks' products (HS code(s): 19); Preparations of vegetables, fruit, nuts or other parts of plants (HS code(s): 20); Miscellaneous edible preparations (HS code(s): 21); Beverages, spirits and vinegar (HS code(s): 22)</t>
  </si>
  <si>
    <t>02 - Meat and edible meat offal; 07 - Edible vegetables and certain roots and tubers; 08 - Edible fruit and nuts; peel of citrus fruit or melons; 09 - Coffee, tea, mate and spices; 10 - Cereals; 12 - Oil seeds and oleaginous fruits; miscellaneous grains, seeds and fruit; industrial or medicinal plants; straw and fodder; 15 - Animal or vegetable fats and oils and their cleavage products; prepared edible fats; animal or vegetable waxes; 05 - Products of animal origin, not elsewhere specified or included; 18 - Cocoa and cocoa preparations; 14 - Vegetable plaiting materials; vegetable products not elsewhere specified or included; 16 - Preparations of meat, of fish or of crustaceans, molluscs or other aquatic invertebrates; 17 - Sugars and sugar confectionery; 19 - Preparations of cereals, flour, starch or milk; pastrycooks' products; 20 - Preparations of vegetables, fruit, nuts or other parts of plants; 21 - Miscellaneous edible preparations; 22 - Beverages, spirits and vinegar; 04 - Dairy produce; birds' eggs; natural honey; edible products of animal origin, not elsewhere specified or included</t>
  </si>
  <si>
    <d:r xmlns:d="http://schemas.openxmlformats.org/spreadsheetml/2006/main">
      <d:rPr>
        <d:sz val="11"/>
        <d:rFont val="Calibri"/>
      </d:rPr>
      <d:t xml:space="preserve">https://members.wto.org/crnattachments/2024/SPS/ZAF/24_08078_00_e.pdf</d:t>
    </d:r>
  </si>
  <si>
    <t>DEAS 128:2022, Milled rice — Specification, Second Edition</t>
  </si>
  <si>
    <t>The aim of this addendum is to update WTO Members that the Draft East African Standard, DEAS 128:2022, Milled rice — Specification, Second Edition notified in G/SPS/N/BDI/34, G/SPS/N/KEN/190, G/SPS/N/RWA/27, G/SPS/N/TZA/228, G/SPS/N/UGA/230, G/SPS/N/BDI/34/Add.1, G/SPS/N/KEN/190/Add.1, G/SPS/N/RWA/27/Add.1, G/SPS/N/TZA/228/Add.1 and G/SPS/N/UGA/230/Add.1 was adopted by Uganda on 6 August 2024 as a Uganda Standard, US EAS 128:2023, Milled rice — Specification, Fourth Edition. The Uganda Standard, US EAS 128:2023, Milled rice — Specification, Fourth Edition, can be purchased online through the link:</t>
  </si>
  <si>
    <t>Semi-milled or wholly milled rice, whether or not polished or glazed (HS code(s): 100630); Cereals, pulses and derived products (ICS code(s): 67.060)</t>
  </si>
  <si>
    <t>100630 - Semi-milled or wholly milled rice, whether or not polished or glazed; 100630 - Semi-milled or wholly milled rice, whether or not polished or glazed</t>
  </si>
  <si>
    <d:r xmlns:d="http://schemas.openxmlformats.org/spreadsheetml/2006/main">
      <d:rPr>
        <d:sz val="11"/>
        <d:rFont val="Calibri"/>
      </d:rPr>
      <d:t xml:space="preserve">https://webstore.unbs.go.ug/.</d:t>
    </d:r>
  </si>
  <si>
    <t>DEAS 780: 2022, Fresh cassava leaves - Specification, Second Edition</t>
  </si>
  <si>
    <t>The aim of this addendum is to update WTO Members that the Draft East African Standard, DEAS 780: 2022, Fresh cassava leaves - Specification, Second Edition notified in  G/SPS/N/BDI/9, G/SPS/N/KEN/161, G/SPS/N/RWA/2, G/SPS/N/TZA/193 and G/SPS/N/UGA/203 was adopted by Uganda on 6 August 2024 as a Uganda Standard, US EAS 780:2023, Fresh cassava leaves - Specification, Second Edition. The Uganda Standard, US EAS 780:2023, Fresh cassava leaves - Specification, Second Edition, can be purchased online through the link:</t>
  </si>
  <si>
    <t>Other vegetables (HS code(s): 071080); Vegetables and derived products (ICS code(s): 67.080.20); Fresh cassava leaves</t>
  </si>
  <si>
    <t>071080 - Vegetables, uncooked or cooked by steaming or by boiling in water, frozen (excl. potatoes, leguminous vegetables, spinach, New Zealand spinach, orache spinach, and sweetcorn); 071080 - Vegetables, uncooked or cooked by steaming or by boiling in water, frozen (excl. potatoes, leguminous vegetables, spinach, New Zealand spinach, orache spinach, and sweetcorn)</t>
  </si>
  <si>
    <t>67.080.20 - Vegetables and derived products; 67.080.20 - Vegetables and derived products</t>
  </si>
  <si>
    <t>Human health; Food safety; Adoption/publication/entry into force of reg.; Food safety; Human health</t>
  </si>
  <si>
    <t>DEAS 738: 2022, Fresh sweet cassava roots - Specification, Second Edition</t>
  </si>
  <si>
    <t>The aim of this addendum is to update WTO Members that the Draft East African Standard, DEAS 738: 2022, Fresh sweet cassava roots - Specification, Second Edition notified in  G/SPS/N/BDI/14, G/SPS/N/KEN/166, G/SPS/N/RWA/7, G/SPS/N/TZA/198 and G/SPS/N/UGA/208  was adopted by Uganda on 6 August 2024 as a Uganda Standard, US EAS 738:2023, Fresh sweet cassava roots - Specification, Second Edition. The Uganda Standard, US EAS 738:2023, Fresh sweet cassava roots - Specification, Second Edition, can be purchased online through the link: </t>
  </si>
  <si>
    <t>Manioc (cassava) (HS code(s): 071410); Vegetables and derived products (ICS code(s): 67.080.20); Fresh sweet cassava </t>
  </si>
  <si>
    <t>071410 - Fresh, chilled, frozen or dried roots and tubers of manioc "cassava", whether or not sliced or in the form of pellets; 071410 - Fresh, chilled, frozen or dried roots and tubers of manioc "cassava", whether or not sliced or in the form of pellets</t>
  </si>
  <si>
    <t>Human health; Food safety; Adoption/publication/entry into force of reg.; Human health; Food safety</t>
  </si>
  <si>
    <t>DEAS 1035: 2020, Banana seeds - Requirements for certification, First Edition</t>
  </si>
  <si>
    <t>The aim of this addendum is to update WTO Members that the Draft East African Standard, DEAS 1035: 2020, Banana seeds - Requirements for certification, First Edition notified in  G/SPS/N/BDI/19, G/SPS/N/KEN/171, G/SPS/N/RWA/12, G/SPS/N/TZA/203, G/SPS/N/UGA/213 was adopted by Uganda on 6 August 2024 as a Uganda Standard, US EAS 1035:2023, Banana seeds - Requirements for certification, First Edition. The Uganda Standard, US EAS 1035:2023, Banana seeds - Requirements for certification, First Edition, can be purchased online through the link: </t>
  </si>
  <si>
    <t>Other live plants (including their roots), cuttings and slips; mushroom spawn (HS code(s): 0602); Plant growing (ICS code(s): 65.020.20)</t>
  </si>
  <si>
    <t>65.020.20 - Plant growing; 65.020.20 - Plant growing</t>
  </si>
  <si>
    <t>Territory protection; Seeds; Plant health; Human health; Adoption/publication/entry into force of reg.; Seeds; Territory protection; Plant health; Human health</t>
  </si>
  <si>
    <t>DEAS 43:2022, Bread — Specification, Third Edition</t>
  </si>
  <si>
    <t>The aim of this addendum is to update WTO Members that the Draft East African Standard, DEAS 43:2022, Bread — Specification, Third Edition notified in G/SPS/N/BDI/30, G/SPS/N/KEN/186, G/SPS/N/RWA/23, G/SPS/N/TZA/224, G/SPS/N/UGA/226, G/SPS/N/BDI/30/Add.1, G/SPS/N/KEN/186/Add.1, G/SPS/N/RWA/23/Add.1, G/SPS/N/TZA/224/Add.1 and G/SPS/N/UGA/226/Add.1  was adopted by Uganda on 6 August 2024 as a Uganda Standard, US EAS 43:2023, Bread — Specification, Second Edition. The Uganda Standard, US EAS 43:2023, Bread — Specification, Second Edition, can be purchased online through the link:</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</si>
  <si>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(HS code(s): 190590); Cereals, pulses and derived products (ICS code(s): 67.060)</t>
  </si>
  <si>
    <t>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</si>
  <si>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t>DEAS 801:2022, Soya protein products — Specification, Second Edition</t>
  </si>
  <si>
    <t>The aim of this addendum is to update WTO Members that the Draft East African Standard, DEAS 801:2022, Soya protein products — Specification, Second Edition notified in  G/SPS/N/BDI/33, G/SPS/N/KEN/189, G/SPS/N/RWA/26, G/SPS/N/TZA/227, G/SPS/N/UGA/229, G/SPS/N/BDI/33/Add.1, G/SPS/N/KEN/189/Add.1, G/SPS/N/RWA/26/Add.1, G/SPS/N/TZA/227/Add.1 and G/SPS/N/UGA/229/Add.1 was adopted by Uganda on 6 August 2024 as a Uganda Standard, US EAS 801:2023, Soya protein products — Specification, Second Edition. The Uganda Standard, US EAS 801:2023, Soya protein products — Specification, Second Edition can be purchased online through the link: </t>
  </si>
  <si>
    <t>Peptones and their derivatives; other protein substances and their derivatives, n.e.s.; hide powder, whether or not chromed (excl. organic or inorganic compounds of mercury whether or not chemically defined) (HS code(s): 3504); Cereals, pulses and derived products (ICS code(s): 67.060)</t>
  </si>
  <si>
    <t>3504 - Peptones and their derivatives; other protein substances and their derivatives, n.e.s.; hide powder, whether or not chromed (excl. organic or inorganic compounds of mercury whether or not chemically defined); 3504 - Peptones and their derivatives; other protein substances and their derivatives, n.e.s.; hide powder, whether or not chromed (excl. organic or inorganic compounds of mercury whether or not chemically defined)</t>
  </si>
  <si>
    <t>DEAS 802:2022, Textured soya protein products — Specification, Second Edition</t>
  </si>
  <si>
    <t>The aim of this addendum is to update WTO Members that the Draft East African Standard, DEAS 802:2022, Textured soya protein products — Specification, Second Edition notified in  G/SPS/N/BDI/35, G/SPS/N/KEN/191, G/SPS/N/RWA/28, G/SPS/N/TZA/229, G/SPS/N/UGA/231, G/SPS/N/BDI/35/Add.1, G/SPS/N/KEN/191/Add.1, G/SPS/N/RWA/28/Add.1, G/SPS/N/TZA/229/Add.1 and G/SPS/N/UGA/231/Add.1 was adopted by Uganda on 6 August 2024 as a Uganda Standard, US EAS 802:2023, Textured soya protein products — Specification, Second Edition. The Uganda Standard, US EAS 802:2023, Textured soya protein products — Specification, Second Edition, can be purchased online through the link: </t>
  </si>
  <si>
    <t>Protein concentrates and textured protein substances (HS code(s): 210610); Cereals, pulses and derived products (ICS code(s): 67.060)</t>
  </si>
  <si>
    <t>210610 - Protein concentrates and textured protein substances; 210610 - Protein concentrates and textured protein substances</t>
  </si>
  <si>
    <t>DEAS 775: 2022, Production and handling ware potato tuber - Code of practice, Second Edition</t>
  </si>
  <si>
    <t>The aim of this addendum is to update WTO Members that the Draft East African Standard, DEAS 775: 2022, Production and handling ware potato tuber - Code of practice, Second Edition notified in G/SPS/N/BDI/10, G/SPS/N/KEN/162, G/SPS/N/RWA/3, G/SPS/N/TZA/194 and G/SPS/N/UGA/204 was adopted by Uganda on 6 August 2024 as a Uganda Standard, US EAS 775:2023, Production and handling ware potato tuber - Code of practice, Second Edition. The Uganda Standard, US EAS 775:2023, Production and handling ware potato tuber - Code of practice, Second Edition, can be purchased online through the link: </t>
  </si>
  <si>
    <t>Other (HS code(s): 070190); Vegetables and derived products (ICS code(s): 67.080.20); Ware potato tuber</t>
  </si>
  <si>
    <t>070190 - Fresh or chilled potatoes (excl. seed); 070190 - Fresh or chilled potatoes (excl. seed)</t>
  </si>
  <si>
    <t>DEAS 327:2022, Barley for brewing — Specification, Second Edition</t>
  </si>
  <si>
    <t>The aim of this addendum is to update WTO Members that the Draft East African Standard, DEAS 327:2022, Barley for brewing — Specification, Second Edition notified in G/SPS/N/BDI/31, G/SPS/N/KEN/187, G/SPS/N/RWA/24, G/SPS/N/TZA/225, G/SPS/N/UGA/227, G/SPS/N/BDI/31/Add.1, G/SPS/N/KEN/187/Add.1, G/SPS/N/RWA/24/Add.1, G/SPS/N/TZA/225/Add.1 and G/SPS/N/UGA/227/Add.1 was adopted by Uganda on 6 August 2024 as a Uganda Standard, US EAS 327:2023, Barley for brewing — Specification, First Edition. The Uganda Standard, US EAS 327:2023, Barley for brewing — Specification, First Edition can be purchased online through the link:</t>
  </si>
  <si>
    <t>Barley (excl. seed for sowing) (HS code(s): 100390); Cereals, pulses and derived products (ICS code(s): 67.060)</t>
  </si>
  <si>
    <t>100390 - Barley (excl. seed for sowing); 100390 - Barley (excl. seed for sowing)</t>
  </si>
  <si>
    <t>DEAS 946: 2022, Dried fruits — Specification, Second Edition</t>
  </si>
  <si>
    <t>The aim of this addendum is to update WTO Members that the Draft East African Standard, DEAS 946: 2022, Dried fruits — Specification, Second Edition notified in  G/SPS/N/BDI/22, G/SPS/N/KEN/175, G/SPS/N/RWA/15, G/SPS/N/TZA/206, G/SPS/N/UGA/217, G/SPS/N/BDI/22/Add.1, G/SPS/N/KEN/175/Add.1, G/SPS/N/RWA/15/Add.1, G/SPS/N/TZA/206/Add.1 and G/SPS/N/UGA/217/Add.1 was adopted by Uganda on 6 August 2024 as a Uganda Standard, US EAS 946:2023, Dried fruits — Specification, Second Edition. The Uganda Standard, US EAS 946:2023, Dried fruits — Specification, Second Edition, can be purchased online through the link:</t>
  </si>
  <si>
    <t>Fruits. Vegetables (ICS code(s): 67.080)</t>
  </si>
  <si>
    <t>081340 - Dried peaches, pears, papaws "papayas", tamarinds and other edible fruits (excl. nuts, bananas, dates, figs, pineapples, avocados, guavas, mangoes, mangosteens, citrus fruit, grapes apricots, prunes and apples, unmixed); 081340 - Dried peaches, pears, papaws "papayas", tamarinds and other edible fruits (excl. nuts, bananas, dates, figs, pineapples, avocados, guavas, mangoes, mangosteens, citrus fruit, grapes apricots, prunes and apples, unmixed)</t>
  </si>
  <si>
    <t>67.080 - Fruits. Vegetables; 67.080 - Fruits. Vegetables</t>
  </si>
  <si>
    <t>DEAS 778: 2022, Fresh bitter cassava roots — Specification, Second Edition</t>
  </si>
  <si>
    <t>The aim of this addendum is to update WTO Members that the Draft East African Standard, DEAS 778: 2022, Fresh bitter cassava roots — Specification, Second Edition notified in  G/SPS/N/BDI/12, G/SPS/N/KEN/164, G/SPS/N/RWA/5, G/SPS/N/TZA/196 and G/SPS/N/UGA/206 was adopted by Uganda on 6 August 2024 as a Uganda Standard, US EAS 778:2023, Fresh bitter cassava roots — Specification, Second Edition. The Uganda Standard, US EAS 778:2023, Fresh bitter cassava roots — Specification, Second Edition can be purchased online through the link: </t>
  </si>
  <si>
    <t>Manioc (cassava) (HS code(s): 071410); Vegetables and derived products (ICS code(s): 67.080.20); Fresh bitter cassava roots</t>
  </si>
  <si>
    <t>DEAS 948: 2022, Fruit juices, puree, pulp and nectars — Specification, Second Edition</t>
  </si>
  <si>
    <t>The aim of this addendum is to update WTO Members that the Draft East African Standard, DEAS 948: 2022, Fruit juices, puree, pulp and nectars — Specification, Second Edition notified in G/SPS/N/BDI/23, G/SPS/N/KEN/176, G/SPS/N/RWA/16, G/SPS/N/TZA/207, G/SPS/N/UGA/218  was adopted by Uganda on 6 August 2024 as a Uganda Standard, US EAS 948:2023, Fruit juices, puree, pulp and nectars — Specification, Second Edition. The Uganda Standard, US EAS 948:2023, Fruit juices, puree, pulp and nectars — Specification, Second Edition, can be purchased online through the link:</t>
  </si>
  <si>
    <t>Non-alcoholic beverages (ICS code(s): 67.160.20)</t>
  </si>
  <si>
    <t>200990 - Mixtures of fruit juices, incl. grape must, and vegetable juices, unfermented, whether or not containing added sugar or other sweetening matter (excl. containing spirit); 200990 - Mixtures of fruit juices, incl. grape must, and vegetable juices, unfermented, whether or not containing added sugar or other sweetening matter (excl. containing spirit)</t>
  </si>
  <si>
    <t>67.160.20 - Non-alcoholic beverages; 67.160.20 - Non-alcoholic beverages</t>
  </si>
  <si>
    <t>Human health; Adoption/publication/entry into force of reg.; Food safety; Food safety; Human health</t>
  </si>
  <si>
    <t>DEAS 800:2022, Soya milk — Specification, Second Edition</t>
  </si>
  <si>
    <t>The aim of this addendum is to update WTO Members that the Draft East African Standard, DEAS 800:2022, Soya milk — Specification, Second Edition notified in  G/SPS/N/BDI/32, G/SPS/N/KEN/188, G/SPS/N/RWA/25, G/SPS/N/TZA/226 and G/SPS/N/UGA/228 was adopted by Uganda on 6 August 2024 as a Uganda Standard, US EAS 800:2023, Soya milk — Specification, Second Edition. The Uganda Standard, US EAS 800:2023, Soya milk — Specification, Second Edition, can be purchased online through the link: </t>
  </si>
  <si>
    <t>Non-alcoholic beverages (excl. water, fruit or vegetable juices, milk and beer) (HS code(s): 220299); Cereals, pulses and derived products (ICS code(s): 67.060)</t>
  </si>
  <si>
    <t>220299 - Non-alcoholic beverages (excl. water, fruit or vegetable juices, milk and beer); 220299 - Non-alcoholic beverages (excl. water, fruit or vegetable juices, milk and beer)</t>
  </si>
  <si>
    <t>DEAS 1106: 2022, Banana flour — Specification, First Edition</t>
  </si>
  <si>
    <t>The aim of this addendum is to update WTO Members that the Draft East African Standard, DEAS 1106: 2022, Banana flour — Specification, First Edition notified in  G/SPS/N/BDI/24, G/SPS/N/KEN/177, G/SPS/N/RWA/17, G/SPS/N/TZA/208, G/SPS/N/UGA/219, G/SPS/N/BDI/24/Add.1, G/SPS/N/KEN/177/Add.1, G/SPS/N/RWA/17/Add.1, G/SPS/N/TZA/208/Add.1 and G/SPS/N/UGA/219/Add.1 was adopted by Uganda on 6 August 2024 as a Uganda Standard, US EAS 1106:2023, Banana flour — Specification, First Edition. The Uganda Standard, US EAS 1106:2023, Banana flour — Specification, First Edition, can be purchased online through the link:</t>
  </si>
  <si>
    <t>Fruits and derived products (ICS code(s): 67.080.10)</t>
  </si>
  <si>
    <t>190190 - Malt extract; food preparations of flour, groats, meal, starch or malt extract, not containing cocoa or containing &lt; 40% by weight of cocoa calculated on a totally defatted basis, n.e.s. and food preparations of milk, cream, butter milk, sour milk, sour cream, whey, yogurt, kephir or similar goods of heading 0401 to 0404, not containing cocoa or containing &lt; 5% by weight of cocoa calculated on a totally defatted basis, n.e.s. (excl. for infant use, put up for retail sale, and mixes and doughs for the preparation of bakers' wares of heading 1905); 190190 - Malt extract; food preparations of flour, groats, meal, starch or malt extract, not containing cocoa or containing &lt; 40% by weight of cocoa calculated on a totally defatted basis, n.e.s. and food preparations of milk, cream, butter milk, sour milk, sour cream, whey, yogurt, kephir or similar goods of heading 0401 to 0404, not containing cocoa or containing &lt; 5% by weight of cocoa calculated on a totally defatted basis, n.e.s. (excl. for infant use, put up for retail sale, and mixes and doughs for the preparation of bakers' wares of heading 1905)</t>
  </si>
  <si>
    <t>67.080.10 - Fruits and derived products; 67.080.10 - Fruits and derived products</t>
  </si>
  <si>
    <t>Food safety; Human health; Adoption/publication/entry into force of reg.; Human health; Food safety</t>
  </si>
  <si>
    <t>Listeria monocytogenes</t>
  </si>
  <si>
    <t>The proposal notified in G/SPS/N/EU/764 (17 May 2024) is now adopted by Commission Regulation (EU) 2024/2895 of 20 November 2024 amending Regulation (EC) No 2073/2005 as regards Listeria monocytogenes (Text with EEA relevance).The Regulation shall apply from 1 July 2026.</t>
  </si>
  <si>
    <t>All types of ready-to-eat foodstuffs</t>
  </si>
  <si>
    <t>Adoption/publication/entry into force of reg.; Human health; Food safety; Bacteria; Bacteria; Food safety; Human health</t>
  </si>
  <si>
    <d:r xmlns:d="http://schemas.openxmlformats.org/spreadsheetml/2006/main">
      <d:rPr>
        <d:sz val="11"/>
        <d:rFont val="Calibri"/>
      </d:rPr>
      <d:t xml:space="preserve">https://members.wto.org/crnattachments/2024/SPS/EEC/24_08073_00_e.pdf
https://members.wto.org/crnattachments/2024/SPS/EEC/24_08073_00_f.pdf
https://members.wto.org/crnattachments/2024/SPS/EEC/24_08073_00_s.pdf</d:t>
    </d:r>
  </si>
  <si>
    <t>DEAS 776: 2022, Production and handling of fresh cassava root - Code of practice, Second Edition</t>
  </si>
  <si>
    <t>The aim of this addendum is to update WTO Members that the Draft East African Standard, DEAS 776: 2022, Production and handling of fresh cassava root - Code of practice, Second Edition notified in  G/SPS/N/BDI/11, G/SPS/N/KEN/163, G/SPS/N/RWA/4, G/SPS/N/TZA/195 and G/SPS/N/UGA/205 was adopted by Uganda on 6 August 2024 as a Uganda Standard, US EAS 776:2023, Production and handling of fresh cassava root - Code of practice, Second Edition. The Uganda Standard, US EAS 776:2023, Production and handling of fresh cassava root - Code of practice, Second Edition, can be purchased online through the link: </t>
  </si>
  <si>
    <t>Manioc (cassava) (HS code(s): 071410); Vegetables and derived products (ICS code(s): 67.080.20); Fresh cassava root </t>
  </si>
  <si>
    <t>Draft Resolution of the Cabinet of Ministers of Ukraine “On Approval of Technical Requirements (Standards) for Security Feature Providing Protection Against Unauthorized Access to Unit Packet of Tobacco Products”</t>
  </si>
  <si>
    <t xml:space="preserve">The draft Resolution provides for approval of technical requirements (standards) for security features that ensures protection against unauthorized access to unit packet of tobacco products, which include the following provisions:1) the composition and quantity of authentication elements to be used in security feature; _x000D_
2) the method of applying security feature to  unit packet of tobacco products; _x000D_
3) the manufacturing process of security feature; 4) the types of authentication elements included in security feature. Technical requirements have been developed based on Directive 2014/40/EU of the European Parliament and of the Council of 3 April 2014 on the approximation of the laws, regulations and administrative provisions of the Member States concerning the manufacture, presentation and sale of tobacco and related products and repealing Directive 2001/37/EC and Commission Implementing Decision (EU) 2018/576 of 15 December 2017 on technical standards for security features applied to tobacco products.</t>
  </si>
  <si>
    <t>Security feature that provides protection against unauthorized access to unit packet of tobacco products</t>
  </si>
  <si>
    <t>24 - TOBACCO AND MANUFACTURED TOBACCO SUBSTITUTES; PRODUCTS, WHETHER OR NOT CONTAINING NICOTINE, INTENDED FOR INHALATION WITHOUT COMBUSTION; OTHER NICOTINE CONTAINING PRODUCTS INTENDED FOR THE INTAKE OF NICOTINE INTO THE HUMAN BODY</t>
  </si>
  <si>
    <d:r xmlns:d="http://schemas.openxmlformats.org/spreadsheetml/2006/main">
      <d:rPr>
        <d:sz val="11"/>
        <d:rFont val="Calibri"/>
      </d:rPr>
      <d:t xml:space="preserve">https://members.wto.org/crnattachments/2024/TBT/UKR/24_07966_00_e.pdf
https://members.wto.org/crnattachments/2024/TBT/UKR/24_07966_01_e.pdf
https://members.wto.org/crnattachments/2024/TBT/UKR/24_07966_02_e.pdf
https://members.wto.org/crnattachments/2024/TBT/UKR/24_07966_00_x.pdf
https://members.wto.org/crnattachments/2024/TBT/UKR/24_07966_01_x.pdf
https://members.wto.org/crnattachments/2024/TBT/UKR/24_07966_02_x.pdf</d:t>
    </d:r>
  </si>
  <si>
    <t>DEAS 771: 2022, Fresh sweet potato - Specification, Second Edition</t>
  </si>
  <si>
    <t>The aim of this addendum is to update WTO Members that the Draft East African Standard, DEAS 771: 2022, Fresh sweet potato - Specification, Second Edition notified in  G/SPS/N/BDI/13, G/SPS/N/KEN/165, G/SPS/N/RWA/6, G/SPS/N/TZA/197 and G/SPS/N/UGA/207 was adopted by Uganda on 6 August 2024 as a Uganda Standard, US EAS 771:2023, Fresh sweet potato - Specification, Second Edition. The Uganda Standard, US EAS 771:2023, Fresh sweet potato - Specification, Second Edition, can be purchased online through the link: </t>
  </si>
  <si>
    <t>Sweet potatoes (HS code(s): 071420); Vegetables and derived products (ICS code(s): 67.080.20); Fresh sweet potato</t>
  </si>
  <si>
    <t>071420 - Sweet potatoes, fresh, chilled, frozen or dried, whether or not sliced or in the form of pellets; 071420 - Sweet potatoes, fresh, chilled, frozen or dried, whether or not sliced or in the form of pellets</t>
  </si>
  <si>
    <t>Draft Commission Regulation amending Annex XVII to Regulation (EC) No 1907/2006 of the European Parliament and of the Council as regards per- and polyfluoroalkyl substances in firefighting foams </t>
  </si>
  <si>
    <t>This draft Regulation would introduce a new entry to Annex XVII to Regulation (EC) No 1907/2006.It would prohibit the placing on the market and use of per- and polyfluoroalkyl substances (PFAS) in firefighting foams and in firefighting foams concentrates, including ready-to-use portable fire extinguishers. Specific transitional periods are proposed for different applications. In addition, several measures are introduced to limit the environmental emissions of PFAS from firefighting foams during the transitional period. </t>
  </si>
  <si>
    <t>Firefighting foams containing per- and polyfluoroalkyl substances (PFAS)</t>
  </si>
  <si>
    <t>13.220.10 - Fire-fighting; 71.100 - Products of the chemical industry</t>
  </si>
  <si>
    <d:r xmlns:d="http://schemas.openxmlformats.org/spreadsheetml/2006/main">
      <d:rPr>
        <d:sz val="11"/>
        <d:rFont val="Calibri"/>
      </d:rPr>
      <d:t xml:space="preserve">https://members.wto.org/crnattachments/2024/TBT/EEC/24_08072_00_e.pdf
https://members.wto.org/crnattachments/2024/TBT/EEC/24_08072_01_e.pdf</d:t>
    </d:r>
  </si>
  <si>
    <t>DEAS 1101:2022, Cassava seed - Requirements for certification, First Edition</t>
  </si>
  <si>
    <t>The aim of this addendum is to update WTO Members that the Draft East African Standard, DEAS 1101:2022 Cassava seed - Requirements for certification, First Edition notified in  G/SPS/N/BDI/21, G/SPS/N/KEN/174, G/SPS/N/RWA/14, G/SPS/N/TZA/205 and G/SPS/N/UGA/215  was adopted by Uganda on 6 August 2024 as a Uganda Standard, US EAS 1101:2023 Cassava seed - Requirements for certification, First Edition. The Uganda Standard, US EAS 1101:2023 Cassava seed - Requirements for certification, First Edition, can be purchased online through the link:</t>
  </si>
  <si>
    <t>Seeders, planters and transplanters (HS code: 843230); Plant growing (ICS code: 65.020.20)</t>
  </si>
  <si>
    <t>8432 - Agricultural, horticultural or forestry machinery for soil preparation or cultivation (excl. sprayers and dusters); lawn or sports-ground rollers; parts thereof; 8432 - Agricultural, horticultural or forestry machinery for soil preparation or cultivation (excl. sprayers and dusters); lawn or sports-ground rollers; parts thereof</t>
  </si>
  <si>
    <t>Territory protection; Plant health; Seeds; Adoption/publication/entry into force of reg.; Seeds; Plant health; Territory protection</t>
  </si>
  <si>
    <t>Seeds; Plant health; Territory protection; Adoption/publication/entry into force of reg.; Seeds; Plant health; Territory protection</t>
  </si>
  <si>
    <t>Draft Technical Regulation on charging and data transmission methods for broadcasting and communication equipment, including mobile and smart devices</t>
  </si>
  <si>
    <t>Handheld mobile phones, tablets, digital cameras, headphones, headsets, handheld videogame consoles, portable speakers, e-readers, keyboards, mice, portable navigation systems, earbuds, laptops</t>
  </si>
  <si>
    <t>33.040 - Telecommunication systems; 33.040 - Telecommunication systems</t>
  </si>
  <si>
    <d:r xmlns:d="http://schemas.openxmlformats.org/spreadsheetml/2006/main">
      <d:rPr>
        <d:sz val="11"/>
        <d:rFont val="Calibri"/>
      </d:rPr>
      <d:t xml:space="preserve">https://members.wto.org/crnattachments/2024/TBT/KOR/modification/24_07958_00_x.pdf</d:t>
    </d:r>
  </si>
  <si>
    <t>Energy Conservation Program: Test Procedure for General Service Lamps</t>
  </si>
  <si>
    <t>Notice of proposed rulemaking and announcement of public meeting (if requested by 2 December 2024) - The U.S. Department of Energy (“DOE”) proposes several clarifications to the test procedures for general service lamps (“GSLs”) located in appendix W, appendix BB and appendix DD. Specifically, DOE proposes to clarify that GSLs must not be tested as colored lamps, GSLs that can operate at multiple correlated color temperatures (“CCTs”) be tested at one specific CCT, and that lamps with additional components that do not affect light output must be turned off during testing. The proposed clarifications specify that non-integrated lamps be tested with a fluorescent lamp ballast or external driver selected based on compatibility lists and availability; and provide specifications regarding the starting method, ballast factor, number of lamps and references to the relevant industry standards. This rulemaking is limited in scope and is considering clarifications to the current test procedures that are required for certification of compliance with existing applicable GSL energy conservation standards. Further, this rulemaking does not satisfy the Energy Policy and Conservation Act (EPCA) requirement that, at least once every 7 years, DOE review the test procedures for GSLs. DOE is seeking comment from interested parties on the proposal.</t>
  </si>
  <si>
    <t>General service lamps (“GSLs”); Product and company certification. Conformity assessment (ICS code(s): 03.120.20); Environment and environmental protection in general (ICS code(s): 13.020.01); Electrical and electronic testing (ICS code(s): 19.080); Lamps and related equipment (ICS code(s): 29.140)</t>
  </si>
  <si>
    <t>851310 - Portable electrical lamps designed to function by their own source of energy</t>
  </si>
  <si>
    <t>03.120.20 - Product and company certification. Conformity assessment; 13.020.01 - Environment and environmental protection in general; 19.080 - Electrical and electronic testing; 29.140 - Lamps and related equipment</t>
  </si>
  <si>
    <d:r xmlns:d="http://schemas.openxmlformats.org/spreadsheetml/2006/main">
      <d:rPr>
        <d:sz val="11"/>
        <d:rFont val="Calibri"/>
      </d:rPr>
      <d:t xml:space="preserve">https://members.wto.org/crnattachments/2024/TBT/USA/24_07973_00_e.pdf</d:t>
    </d:r>
  </si>
  <si>
    <t>DKS 495: 2024: Men’s underwear Specification</t>
  </si>
  <si>
    <t>This Standard specifies the requirements and test methods for men’s underwear which   include but not limited to, brief, boxer brief trunk and other types of underwear worn to cover the groin. This standard excludes vest.  </t>
  </si>
  <si>
    <t>Men's or boys' underpants, briefs, nightshirts, pyjamas, bathrobes, dressing gowns and similar articles, knitted or crocheted (excl. vests and singlets) (HS code(s): 6107); Products of the textile industry (ICS code(s): 59.080)</t>
  </si>
  <si>
    <t>6107 - Men's or boys' underpants, briefs, nightshirts, pyjamas, bathrobes, dressing gowns and similar articles, knitted or crocheted (excl. vests and singlets)</t>
  </si>
  <si>
    <t>59.080 - Products of the textile industry</t>
  </si>
  <si>
    <t>Consumer information, labelling (TBT); Protection of human health or safety (TBT); Quality requirements (TBT); Reducing trade barriers and facilitating trade (TBT)</t>
  </si>
  <si>
    <d:r xmlns:d="http://schemas.openxmlformats.org/spreadsheetml/2006/main">
      <d:rPr>
        <d:sz val="11"/>
        <d:rFont val="Calibri"/>
      </d:rPr>
      <d:t xml:space="preserve">https://members.wto.org/crnattachments/2024/TBT/KEN/24_07956_00_e.pdf</d:t>
    </d:r>
  </si>
  <si>
    <t>Finland</t>
  </si>
  <si>
    <t>Draft Government Proposal for Amending the Tobacco Act</t>
  </si>
  <si>
    <t>Laying down comprehensive regulation on nicotine pouches </t>
  </si>
  <si>
    <t>Nicotine pouches without tobacco</t>
  </si>
  <si>
    <d:r xmlns:d="http://schemas.openxmlformats.org/spreadsheetml/2006/main">
      <d:rPr>
        <d:sz val="11"/>
        <d:rFont val="Calibri"/>
      </d:rPr>
      <d:t xml:space="preserve">https://members.wto.org/crnattachments/2024/TBT/FIN/24_07975_00_x.pdf
https://technical-regulation-information-system.ec.europa.eu/fi/notification/26452</d:t>
    </d:r>
  </si>
  <si>
    <t>Draft Plant Quarantine (Regulation of Import into India) Order, 2003 (Eighth Amendment) 2024</t>
  </si>
  <si>
    <t>The Draft Plant Quarantine (Regulation of Import into India) (Eighth Amendment) Order, 2024 seeks to further liberalize provisions governing import of apple (Malus domestica) from Brazil.</t>
  </si>
  <si>
    <t>Pome fruits - Apple (Malus domestica</t>
  </si>
  <si>
    <d:r xmlns:d="http://schemas.openxmlformats.org/spreadsheetml/2006/main">
      <d:rPr>
        <d:sz val="11"/>
        <d:rFont val="Calibri"/>
      </d:rPr>
      <d:t xml:space="preserve">https://members.wto.org/crnattachments/2024/SPS/IND/24_08074_00_e.pdf</d:t>
    </d:r>
  </si>
  <si>
    <t>Plant health; Human health; Seeds; Territory protection; Adoption/publication/entry into force of reg.; Seeds; Territory protection; Plant health; Human health</t>
  </si>
  <si>
    <t>Stainless Steel Pipes and Tubes (Quality Control) Order, 2024</t>
  </si>
  <si>
    <t>Stainless Steel Pipes and Tubes (Quality Control) Order, 2024Stainless Steel Seamless Pipes and Tubes:Seamless pipe is manufactured by extruding the metal to the desired length; it does not have any joint in its cross-section through-out its length. In Seamless pipe, there are no welding or joints and is manufactured from solid round billets. It is primarily used in High-pressure applications such as Hydrocarbon Industries &amp; Refineries, Oil &amp; Gas Exploration &amp; Drilling, Oil &amp; Gas Transportation and Air and Hydraulic cylinders, Bearings, Boilers, and Automobiles etc.Stainless Steel Welded Pipes and Tubes:A welded stainless-steel tube is produced through roll-forming strips or sheets of stainless steel into a tube shape and then welding the seam longitudinally. Welded tubing can be accomplished either by hot-forming and cold-forming processes. Due to high corrosion resistance these are primarily used in petroleum and natural gas, chemical and petrochemical, shipbuilding and paper industry etc.</t>
  </si>
  <si>
    <t>Stainless Steel Pipes and Tubes.</t>
  </si>
  <si>
    <t>77.140.75 - Steel pipes and tubes for specific use</t>
  </si>
  <si>
    <d:r xmlns:d="http://schemas.openxmlformats.org/spreadsheetml/2006/main">
      <d:rPr>
        <d:sz val="11"/>
        <d:rFont val="Calibri"/>
      </d:rPr>
      <d:t xml:space="preserve">https://members.wto.org/crnattachments/2024/TBT/IND/24_07969_00_e.pdf</d:t>
    </d:r>
  </si>
  <si>
    <t>The Order of the Ministry of Agrarian Policy and Food of Ukraine  No. 3646 “On Amendments to the Order of the Ministry of Agrarian Policy and Food of Ukraine No. 158 of 26 March 2018” of 20 September 2024</t>
  </si>
  <si>
    <t>The Order of the Ministry of Agrarian Policy and Food of Ukraine  No. 3646 “On Amendments to the Order of the Ministry of Agrarian Policy and Food of Ukraine No. 158 of 26 March 2018” of 20 September 2024 approves the updated List of food products of non-animal origin and animal feedstuffs of non-animal origin that are subject to strengthened state control when imported (sent) into the customs territory of Ukraine.</t>
  </si>
  <si>
    <t>65.120 - Animal feeding stuffs; 67.040 - Food products in general; 67.060 - Cereals, pulses and derived products; 67.080 - Fruits. Vegetables; 67.100 - Milk and milk products; 67.120 - Meat, meat products and other animal produce; 67.180 - Sugar. Sugar products. Starch; 67.200 - Edible oils and fats. Oilseeds</t>
  </si>
  <si>
    <d:r xmlns:d="http://schemas.openxmlformats.org/spreadsheetml/2006/main">
      <d:rPr>
        <d:sz val="11"/>
        <d:rFont val="Calibri"/>
      </d:rPr>
      <d:t xml:space="preserve">https://members.wto.org/crnattachments/2024/SPS/UKR/24_08062_00_e.pdf
https://members.wto.org/crnattachments/2024/SPS/UKR/24_08062_00_x.pdf
https://zakon.rada.gov.ua/laws/show/z1510-24#Text</d:t>
    </d:r>
  </si>
  <si>
    <t>Proposed amendments to the Standards and Specifications for Food Additives</t>
  </si>
  <si>
    <t xml:space="preserve">The Republic of Korea is proposing to amend the "Standards and Specifications for Food Additives"._x000D_
1) [Steviol Glycoside] (corresponding to INS No. 960c) obtained by the enzymatic treatment of stevia extract or purified stevia extract will be permitted as a food additive (sweetener);2) Fermented ethyl alcohol (spirits) will be permitted as a manufacturing solvent for the manufacturing of [Xanthan Gum] and [Gellan Gum];3) The analytical methods for [Invertase] and [Ferulic Acid] will be revised:_x000D_
  - For invertase, the wavelength for activity measurements will be specified as 515 nm;_x000D_
  - For ferulic acid, the indicator will be specified as bromothymolblue (BTB).</t>
  </si>
  <si>
    <d:r xmlns:d="http://schemas.openxmlformats.org/spreadsheetml/2006/main">
      <d:rPr>
        <d:sz val="11"/>
        <d:rFont val="Calibri"/>
      </d:rPr>
      <d:t xml:space="preserve">https://members.wto.org/crnattachments/2024/SPS/KOR/24_07974_00_x.pdf</d:t>
    </d:r>
  </si>
  <si>
    <t>Resolución No 7.648 de 2024: "Reconoce centro de producción Micro Paradox Inc. Para la exportación de plantas clonales de nogal desde Estados Unidos a Chile de las especies que se indica" (Resolution No. 7.648 of 2024 recognizing the production centre Micro Paradox Inc. for the exportation of certain species of clonal walnut plants from the United States to Chile)</t>
  </si>
  <si>
    <t xml:space="preserve">• The California-based production centre Micro Paradox Inc., approved by the SAG and the US authorities, is authorized to export clonal walnut plants; • Rootstocks, microcuttings, microplugs, green bare root and micrografted plants are authorized for export under different specific conditions; • Consignments must include an official phytosanitary certificate issued by the USDA or APHIS, with an additional declaration of compliance with measures for a list of quarantine pests; • Consignments must undergo disinfestation treatment for insects and mites, be free from soil and gastropods, and use new containers and accompanying material incapable of harbouring pests; • The notified Resolution provides for representative sampling for phytosanitary analysis, comprising division by discipline and sensitive methods to detect specific pests; • Imports shall only be processed through the SAG office at Arturo Merino Benítez International Airport; • Genetically modified material must be declared and comply with the SAG's specific rules; • The SAG must be notified if the centre's phytosanitary status changes or if pests are detected; certification may be lost or reissued based on an official assessment; • The SAG may conduct audits of the centre and take samples at the entry point to verify pest absence; G/SPS/N/CHL/810 - 2 -   • The centre's certification is initially valid for two years and can be automatically extended if there are no changes to the procedures or phytosanitary results. Further details can be found in the document attached to this notification.</t>
  </si>
  <si>
    <t>Clonal walnut plants (Juglans regia, Juglans hindsii x Juglans regia and Juglans microcarpa x Juglans regia)</t>
  </si>
  <si>
    <d:r xmlns:d="http://schemas.openxmlformats.org/spreadsheetml/2006/main">
      <d:rPr>
        <d:sz val="11"/>
        <d:rFont val="Calibri"/>
      </d:rPr>
      <d:t xml:space="preserve">https://members.wto.org/crnattachments/2024/SPS/CHL/24_07922_00_s.pdf</d:t>
    </d:r>
  </si>
  <si>
    <t>DEAS 753: 2021, Seed potato - Requirements for certification, First Edition</t>
  </si>
  <si>
    <t>The aim of this addendum is to update WTO Members that the Draft East African Standard, DEAS 753: 2021, Seed potato - Requirements for certification, First Edition notified in  G/SPS/N/BDI/20, G/SPS/N/KEN/172, G/SPS/N/RWA/13, G/SPS/N/TZA/204, G/SPS/N/UGA/214, G/SPS/N/BDI/20/Add.1, G/SPS/N/KEN/172/Add.1, G/SPS/N/RWA/13/Add.1, G/SPS/N/TZA/204/Add.1 and G/SPS/N/UGA/214/Add.1 was adopted by Uganda on 6 August 2024 as a Uganda Standard, US EAS 753:2023, Seed potato - Requirements for certification, Second Edition. The Uganda Standard, US EAS 753:2023, Seed potato - Requirements for certification, Second Edition, can be purchased online through the link: https://webstore.unbs.go.ug/</t>
  </si>
  <si>
    <t>Seed (HS code(s): 070110); Plant growing (ICS code(s): 65.020.20)</t>
  </si>
  <si>
    <t>070110 - Seed potatoes; 070110 - Seed potatoes</t>
  </si>
  <si>
    <t>Resolución 2441 "Modificatoria de la Resolución 2107 "Reglamento Técnico Andino para el Etiquetado de calzado, productos de marroquinería, artículos de viaje y similares"" (Resolution No. 2441 amending Resolution No. 2107, "Andean Technical Regulation on the labelling of footwear, leather goods, travel goods and similar items")</t>
  </si>
  <si>
    <t xml:space="preserve">The Republic of Colombia, on behalf of the Plurinational State of Bolivia, Ecuador and Peru, as member countries of the Andean Community, hereby notifies the issuance of Resolution  1 This information can be provided by including a website address, a PDF attachment, or other information on where the text of the final measure/change to the measure/interpretative guidance can be obtained. G/TBT/N/BOL/12/Add.4 • G/TBT/N/COL/234/Add.4 • G/TBT/N/ECU/341/Add.4 • G/TBT/N/PER/108/Add.4 - 2 -   No. 2441 amending Resolution No. 2107, "Andean Technical Regulation on the labelling of footwear, leather goods, travel goods and similar items", and replacing Annex 2 of Resolution No. 2107. __________</t>
  </si>
  <si>
    <t xml:space="preserve">Code_x000D_
Product description_x000D_
Comments_x000D_
4202.11.10_x000D_
Trunks, suit-cases and vanity-cases, and similar containers_x000D_
Other than similar containers_x000D_
4202.11.90_x000D_
Other_x000D_
_x000D_
4202.12.10_x000D_
Trunks, suit-cases and vanity-cases, and similar containers_x000D_
Other than similar containers_x000D_
4202.12.90_x000D_
Other_x000D_
_x000D_
4202.19.00_x000D_
Other_x000D_
Other than similar containers_x000D_
4202.21.00_x000D_
With outer surface of leather or of composition leather_x000D_
_x000D_
4202.22.00_x000D_
With outer surface of plastics or of textile materials_x000D_
_x000D_
4202.29.00_x000D_
Other_x000D_
_x000D_
4202.91.10_x000D_
Travelling-bags and rucksacks_x000D_
_x000D_
4202.92.00_x000D_
With outer surface of plastics or of textile materials_x000D_
Travelling-bags and rucksacks only_x000D_
4202.99.10_x000D_
Travelling-bags and rucksacks_x000D_
_x000D_
6401.10.00_x000D_
Footwear incorporating a protective metal toe-cap_x000D_
_x000D_
6401.92.00_x000D_
Covering the ankle but not covering the knee_x000D_
_x000D_
6401.99.00_x000D_
Other_x000D_
_x000D_
6402.12.00_x000D_
Ski-boots, cross-country ski footwear and snowboard boots_x000D_
_x000D_
6402.19.00_x000D_
Other_x000D_
_x000D_
6402.20.00_x000D_
Footwear with upper straps or thongs assembled to the sole by means of plugs_x000D_
_x000D_
6402.91.00_x000D_
Covering the ankle_x000D_
_x000D_
6402.99.10_x000D_
Incorporating a protective metal toe-cap_x000D_
_x000D_
6402.99.90_x000D_
Other_x000D_
_x000D_
6403.12.00_x000D_
Ski-boots, cross-country ski footwear and snowboard boots_x000D_
_x000D_
6403.19.00_x000D_
Other_x000D_
_x000D_
6403.20.00_x000D_
Footwear with outer soles of leather, and uppers which consist of leather straps across the instep and around the big toe_x000D_
_x000D_
6403.40.00_x000D_
Other footwear incorporating a protective metal toe-cap_x000D_
_x000D_
6403.51.00_x000D_
Covering the ankle_x000D_
_x000D_
6403.59.00_x000D_
Other_x000D_
_x000D_
6403.91.10_x000D_
Footwear made on a base or platform of wood, not having an inner sole or a protective metal toe-cap_x000D_
_x000D_
6403.91.90_x000D_
Other_x000D_
_x000D_
6403.99.10_x000D_
Footwear made on a base or platform of wood, not having an inner sole or a protective metal toe-cap_x000D_
_x000D_
6403.99.90_x000D_
Other_x000D_
_x000D_
6404.11.10_x000D_
Sports footwear_x000D_
_x000D_
6404.11.20_x000D_
Tennis shoes, basketball shoes, gym shoes, training shoes and the like_x000D_
_x000D_
6404.19.00_x000D_
Other_x000D_
_x000D_
6404.20.00_x000D_
Footwear with outer soles of leather or composition leather_x000D_
_x000D_
6405.10.00_x000D_
With the uppers of leather or composition leather_x000D_
_x000D_
6405.20.00_x000D_
With the uppers of textile materials_x000D_
_x000D_
6405.90.00_x000D_
Other_x000D_
_x000D_
</t>
  </si>
  <si>
    <t>420211 - Trunks, suitcases, vanity cases, executive-cases, briefcases, school satchels and similar containers, with outer surface of leather, composition leather or patent leather; 640590 - Footwear with outer soles of rubber or plastics, with uppers other than rubber, plastics, leather or textile materials; footwear with outer soles of leather or composition leather, with uppers other than leather or textile materials; footwear with outer soles of wood, cork, paperboard, furskin, felt, straw, loofah, etc., with uppers other than leather, composition leather or textile materials, n.e.s.; 640520 - Footwear with uppers of textile materials (excl. with outer soles of rubber, plastics, leather or composition leather, orthopaedic footwear and toy footwear); 640510 - Footwear with uppers of leather or composition leather (excl. with outer soles of rubber, plastics, leather or composition leather and uppers of leather, orthopaedic footwear and toy footwear); 640420 - Footwear with outer soles of leather or composition leather and uppers of textile materials (excl. toy footwear); 640419 - Footwear with outer soles of rubber or plastics and uppers of textile materials (excl. sports footwear, incl. tennis shoes, basketball shoes, gym shoes, training shoes and the like, and toy footwear); 640411 - Sports footwear, incl. tennis shoes, basketball shoes, gym shoes, training shoes and the like, with outer soles of rubber or plastics and uppers of textile materials; 640399 - Footwear with outer soles of rubber, plastics or composition leather, with uppers of leather (excl. covering the ankle, incorporating a protective metal toecap, sports footwear, orthopaedic footwear and toy footwear); 640391 - Footwear with outer soles of rubber, plastics or composition leather, with uppers of leather, covering the ankle (excl. incorporating a protective metal toecap, sports footwear, orthopaedic footwear and toy footwear); 640359 - Footwear with outer soles and uppers of leather (excl. covering the ankle, incorporating a protective metal toecap, with uppers which consist of leather straps across the instep and around the big toe, sports footwear, orthopaedic footwear and toy footwear); 640351 - Footwear with outer soles and uppers of leather, covering the ankle (excl. incorporating a protective metal toecap, sports footwear, orthopaedic footwear and toy footwear); 640340 - Footwear, incorporating a protective metal toecap, with outer soles of rubber, plastics, leather or composition leather and uppers of leather (excl. sports footwear and orthopaedic footwear); 640320 - Footwear with outer soles of leather, and uppers which consist of leather straps across the instep and around the big toe; 640319 - Sports footwear, with outer soles of rubber, plastics, leather or composition leather and uppers of leather (excl. ski-boots, cross-country ski footwear, snowboard boots and skating boots with ice or roller skates attached); 640299 - Footwear with outer soles and uppers of rubber or plastics (excl. covering the ankle or with upper straps or thongs assembled to the sole by means of plugs, waterproof footwear of heading 6401, sports footwear, orthopaedic footwear and toy footwear); 640312 - Ski-boots, cross-country ski footwear and snowboard boots, with outer soles of rubber, plastics, leather or composition leather and uppers of leather; 640220 - Footwear with outer soles and uppers of rubber or plastics, with upper straps or thongs assembled to the sole by means of plugs (excl. toy footwear); 420212 - Trunks, suitcases, vanity cases, executive-cases, briefcases, school satchels and similar containers, with outer surface of plastics or textile materials; 420219 - Trunks, suitcases, vanity cases, executive-cases, briefcases, school satchels and similar containers (excl. with outer surface of leather, composition leather, patent leather, plastics or textile materials); 420221 - Handbags, whether or not with shoulder straps, incl. those without handles, with outer surface of leather, composition leather or patent leather; 420222 - Handbags, whether or not with shoulder straps, incl. those without handles, with outer surface of plastic sheeting or textile materials; 420229 - Handbags, whether or not with shoulder strap, incl. those without handle, with outer surface of vulcanised fibre or paperboard, or wholly or mainly covered with such materials or with paper; 640291 - Footwear covering the ankle, with outer soles and uppers of rubber or plastics (excl. waterproof footwear of heading 6401, sports footwear, orthopaedic footwear and toy footwear); 420292 - Travelling-bags, insulated food or beverage bags, toilet bags, rucksacks, shopping-bags, map-cases, tool bags, sports bags, jewellery boxes, cutlery cases, binocular cases, camera cases, musical instrument cases, gun cases, holsters and similar containers, with outer surface of plastic sheeting or textile materials (excl. trunks, briefcases, school satchels and similar containers, handbags and articles carried in the pocket or handbag); 420291 - Travelling-bags, insulated food or beverage bags, toilet bags, rucksacks, shopping-bags, map-cases, tool bags, sports bags, jewellery boxes, cutlery cases, binocular cases, camera cases, musical instrument cases, gun cases, holsters and similar containers, with outer surface of leather, composition leather or patent leather (excl. trunks, briefcases, school satchels and similar containers, handbags and articles normally carried in the pocket or handbag); 640110 - Waterproof footwear incorporating a protective metal toecap, with outer soles and uppers of rubber or of plastics, the uppers of which are neither fixed to the sole nor assembled by stitching, riveting, nailing, screwing, plugging or similar processes (excl. skating boots with ice or roller skates attached, shin-guards and similar protective sportswear); 640192 - Waterproof footwear covering the ankle, but not the knee, with outer soles and uppers of rubber or of plastics, the uppers of which are neither fixed to the sole nor assembled by stitching, riveting, nailing, screwing, plugging or similar processes (excl. incorporating a protective metal toecap, orthopaedic footwear, sports and toy footwear); 640199 - Waterproof footwear covering neither the ankle nor the knee, with outer soles and uppers of rubber or of plastics, the uppers of which are neither fixed to the sole nor assembled by stitching, riveting, nailing, screwing, plugging or similar processes (excl. covering the ankle but not the knee, footwear incorporating a protective metal toecap, orthopaedic footwear, skating boots with ice or roller skates attached and sports and toy footwear); 640212 - Ski-boots, cross-country ski footwear and snowboard boots, with outer soles and uppers of rubber or plastics (excl. waterproof footwear of heading 6401); 640219 - Sports footwear with outer soles and uppers of rubber or plastics (excl. waterproof footwear of heading 6401, ski-boots, cross-country ski footwear, snowboard boots and skating boots with ice or roller skates attached); 420299 - Travelling-bags, shopping or tool bags, jewellery boxes, cutlery cases and similar, with outer surface of vulcanised fibre or paperboard; cases for binoculars, cameras, musical instruments, guns, holsters and similar containers with outer surface of materials (not leather, plastic sheeting or textile materials) (excl. trunks, briefcases, school satchels and similar; handbags; articles normally carried in pocket or handbag); 640291 - Footwear covering the ankle, with outer soles and uppers of rubber or plastics (excl. incorporating a protective metal toecap, waterproof footwear of heading 6401, sports footwear, orthopaedic footwear and toy footwear); 640110 - Waterproof footwear incorporating a protective metal toecap, with outer soles and uppers of rubber or of plastics, the uppers of which are neither fixed to the sole nor assembled by stitching, riveting, nailing, screwing, plugging or similar processes (excl. skating boots with ice or roller skates attached, shin-guards and similar protective sportswear); 420222 - Handbags, whether or not with shoulder straps, incl. those without handles, with outer surface of plastic sheeting or textile materials; 640399 - Footwear with outer soles of rubber, plastics or composition leather, with uppers of leather (excl. covering the ankle, incorporating a protective metal toecap, made on a base or platform of wood, without in-soles, sports footwear, orthopaedic footwear and toy footwear); 640319 - Sports footwear, with outer soles of rubber, plastics, leather or composition leather and uppers of leather (excl. ski-boots, cross-country ski footwear, snowboard boots and skating boots with ice or roller skates attached); 640312 - Ski-boots, cross-country ski footwear and snowboard boots, with outer soles of rubber, plastics, leather or composition leather and uppers of leather; 640220 - Footwear with outer soles and uppers of rubber or plastics, with upper straps or thongs assembled to the sole by means of plugs (excl. toy footwear); 640320 - Footwear with outer soles of leather, and uppers which consist of leather straps across the instep and around the big toe; 420291 - Travelling-bags, insulated food or beverage bags, toilet bags, rucksacks, shopping-bags, map-cases, tool bags, sports bags, jewellery boxes, cutlery cases, binocular cases, camera cases, musical instrument cases, gun cases, holsters and similar containers, with outer surface of leather, composition leather or patent leather (excl. trunks, brief-cases, school satchels and similar containers, handbags and articles normally carried in the pocket or handbag); 420229 - Handbags, whether or not with shoulder strap, incl. those without handle, with outer surface of vulcanised fibre or paperboard, or wholly or mainly covered with such materials or with paper; 640391 - Footwear with outer soles of rubber, plastics or composition leather, with uppers of leather, covering the ankle (excl. incorporating a protective metal toecap, sports footwear, orthopaedic footwear and toy footwear); 640351 - Footwear with outer soles and uppers of leather, covering the ankle (excl. incorporating a protective metal toecap, sports footwear, orthopaedic footwear and toy footwear); 640212 - Ski-boots, cross-country ski footwear and snowboard boots, with outer soles and uppers of rubber or plastics (excl. waterproof footwear of heading 6401); 420292 - Travelling-bags, insulated food or beverage bags, toilet bags, rucksacks, shopping-bags, map-cases, tool bags, sports bags, jewellery boxes, cutlery cases, binocular cases, camera cases, musical instrument cases, gun cases, holsters and similar containers, with outer surface of plastic sheeting or textile materials (excl. trunks, brief-cases, school satchels and similar containers, handbags and articles carried in the pocket or handbag); 640199 - Waterproof footwear covering neither the ankle nor the knee, with outer soles and uppers of rubber or of plastics, the uppers of which are neither fixed to the sole nor assembled by stitching, riveting, nailing, screwing, plugging or similar processes (excl. incorporating a protective metal toecap, orthopaedic footwear, skating boots with ice or roller skates attached, and toy footwear); 640420 - Footwear with outer soles of leather or composition leather and uppers of textile materials (excl. toy footwear); 420221 - Handbags, whether or not with shoulder straps, incl. those without handles, with outer surface of leather, composition leather or patent leather; 640411 - Sports footwear, incl. tennis shoes, basketball shoes, gym shoes, training shoes and the like, with outer soles of rubber or plastics and uppers of textile materials; 640340 - Footwear, incorporating a protective metal toecap, with outer soles of rubber, plastics, leather or composition leather and uppers of leather (excl. sports footwear and orthopaedic footwear); 640299 - Footwear with outer soles and uppers of rubber or plastics (excl. covering the ankle or with upper straps or thongs assembled to the sole by means of plugs, waterproof footwear of heading 6401, sports footwear, orthopaedic footwear and toy footwear); 420212 - Trunks, suit-cases, vanity-cases, executive-cases, brief-cases, school satchels and similar containers, with outer surface of plastics or textile materials; 640590 - Footwear with outer soles of rubber or plastics, with uppers other than rubber, plastics, leather or textile materials; footwear with outer soles of leather or composition leather, with uppers other than leather or textile materials; footwear with outer soles of wood, cork, paperboard, furskin, felt, straw, loofah, etc., with uppers other than leather, composition leather or textile materials, n.e.s.; 640419 - Footwear with outer soles of rubber or plastics and uppers of textile materials (excl. sports footwear, incl. tennis shoes, basketball shoes, gym shoes, training shoes and the like, and toy footwear); 640359 - Footwear with outer soles and uppers of leather (excl. covering the ankle, incorporating a protective metal toecap, made on a base or platform of wood, without in-soles, with uppers which consist of leather straps across the instep and around the big toe, sports footwear, orthopaedic footwear, and toy footwear); 420211 - Trunks, suit-cases, vanity-cases, executive-cases, brief-cases, school satchels and similar containers, with outer surface of leather, composition leather or patent leather; 640219 - Sports footwear with outer soles and uppers of rubber or plastics (excl. waterproof footwear of heading 6401, ski-boots, cross-country ski footwear, snowboard boots and skating boots with ice or roller skates attached); 640520 - Footwear with uppers of textile materials (excl. with outer soles of rubber, plastics, leather or composition leather, orthopaedic footwear and toy footwear); 420219 - Trunks, suit-cases, vanity-cases, executive-cases, brief-cases, school satchels and similar containers (excl. with outer surface of leather, composition leather, patent leather, plastics or textile materials); 640192 - Waterproof footwear covering the ankle, but not the knee, with outer soles and uppers of rubber or of plastics, the uppers of which are neither fixed to the sole nor assembled by stitching, riveting, nailing, screwing, plugging or similar processes (excl. incorporating a protective metal toecap, orthopaedic footwear, skating boots with ice or roller skates attached, and toy footwear); 420299 - Travelling-bags, shopping or tool bags, jewellery boxes, cutlery cases and similar, with outer surface of vulcanised fibre or paperboard; cases for binoculars, cameras, musical instruments, guns, holsters and similar containers with outer surface of materials (not leather, plastic sheeting or textile materials) (excl. trunks, brief-cases, school satchels and similar; handbags; articles normally carried in pocket or handbag); 640510 - Footwear with uppers of leather or composition leather (excl. with outer soles of rubber, plastics, leather or composition leather and uppers of leather, orthopaedic footwear and toy footwear)</t>
  </si>
  <si>
    <t>13.340 - Protective equipment; 13.340 - Protective equipment; 55.080 - Sacks. Bags; 55.080 - Sacks. Bags; 59.140.35 - Leather products; 59.140.35 - Leather products; 61.060 - Footwear; 61.060 - Footwear</t>
  </si>
  <si>
    <d:r xmlns:d="http://schemas.openxmlformats.org/spreadsheetml/2006/main">
      <d:rPr>
        <d:sz val="11"/>
        <d:rFont val="Calibri"/>
      </d:rPr>
      <d:t xml:space="preserve">https://members.wto.org/crnattachments/2024/TBT/COL/modification/24_07943_00_s.pdf</d:t>
    </d:r>
  </si>
  <si>
    <t>Human health; Plant health; Territory protection; Seeds; Adoption/publication/entry into force of reg.; Seeds; Territory protection; Plant health; Human health</t>
  </si>
  <si>
    <t>Pesticide Product Registration; Receipt of Applications for New Active Ingredients - September 2024</t>
  </si>
  <si>
    <t>EPA has received applications to register pesticide products containing active ingredients not included in any currently registered pesticide products. Pursuant to the Federal Insecticide, Fungicide, and Rodenticide Act (FIFRA), EPA is hereby providing notice of receipt and opportunity to comment on these applications.</t>
  </si>
  <si>
    <t xml:space="preserve">Pesticide products 
containing active ingredients not included in any currently registered 
pesticide products</t>
  </si>
  <si>
    <d:r xmlns:d="http://schemas.openxmlformats.org/spreadsheetml/2006/main">
      <d:rPr>
        <d:sz val="11"/>
        <d:rFont val="Calibri"/>
      </d:rPr>
      <d:t xml:space="preserve">https://www.govinfo.gov/content/pkg/FR-2024-11-12/html/2024-26170.htm</d:t>
    </d:r>
  </si>
  <si>
    <t>640590 - Footwear with outer soles of rubber or plastics, with uppers other than rubber, plastics, leather or textile materials; footwear with outer soles of leather or composition leather, with uppers other than leather or textile materials; footwear with outer soles of wood, cork, paperboard, furskin, felt, straw, loofah, etc., with uppers other than leather, composition leather or textile materials, n.e.s.; 420219 - Trunks, suitcases, vanity cases, executive-cases, briefcases, school satchels and similar containers (excl. with outer surface of leather, composition leather, patent leather, plastics or textile materials); 420221 - Handbags, whether or not with shoulder straps, incl. those without handles, with outer surface of leather, composition leather or patent leather; 420222 - Handbags, whether or not with shoulder straps, incl. those without handles, with outer surface of plastic sheeting or textile materials; 420229 - Handbags, whether or not with shoulder strap, incl. those without handle, with outer surface of vulcanised fibre or paperboard, or wholly or mainly covered with such materials or with paper; 420291 - Travelling-bags, insulated food or beverage bags, toilet bags, rucksacks, shopping-bags, map-cases, tool bags, sports bags, jewellery boxes, cutlery cases, binocular cases, camera cases, musical instrument cases, gun cases, holsters and similar containers, with outer surface of leather, composition leather or patent leather (excl. trunks, briefcases, school satchels and similar containers, handbags and articles normally carried in the pocket or handbag); 420292 - Travelling-bags, insulated food or beverage bags, toilet bags, rucksacks, shopping-bags, map-cases, tool bags, sports bags, jewellery boxes, cutlery cases, binocular cases, camera cases, musical instrument cases, gun cases, holsters and similar containers, with outer surface of plastic sheeting or textile materials (excl. trunks, briefcases, school satchels and similar containers, handbags and articles carried in the pocket or handbag); 420299 - Travelling-bags, shopping or tool bags, jewellery boxes, cutlery cases and similar, with outer surface of vulcanised fibre or paperboard; cases for binoculars, cameras, musical instruments, guns, holsters and similar containers with outer surface of materials (not leather, plastic sheeting or textile materials) (excl. trunks, briefcases, school satchels and similar; handbags; articles normally carried in pocket or handbag); 640110 - Waterproof footwear incorporating a protective metal toecap, with outer soles and uppers of rubber or of plastics, the uppers of which are neither fixed to the sole nor assembled by stitching, riveting, nailing, screwing, plugging or similar processes (excl. skating boots with ice or roller skates attached, shin-guards and similar protective sportswear); 640192 - Waterproof footwear covering the ankle, but not the knee, with outer soles and uppers of rubber or of plastics, the uppers of which are neither fixed to the sole nor assembled by stitching, riveting, nailing, screwing, plugging or similar processes (excl. incorporating a protective metal toecap, orthopaedic footwear, sports and toy footwear); 640199 - Waterproof footwear covering neither the ankle nor the knee, with outer soles and uppers of rubber or of plastics, the uppers of which are neither fixed to the sole nor assembled by stitching, riveting, nailing, screwing, plugging or similar processes (excl. covering the ankle but not the knee, footwear incorporating a protective metal toecap, orthopaedic footwear, skating boots with ice or roller skates attached and sports and toy footwear); 640212 - Ski-boots, cross-country ski footwear and snowboard boots, with outer soles and uppers of rubber or plastics (excl. waterproof footwear of heading 6401); 640219 - Sports footwear with outer soles and uppers of rubber or plastics (excl. waterproof footwear of heading 6401, ski-boots, cross-country ski footwear, snowboard boots and skating boots with ice or roller skates attached); 640220 - Footwear with outer soles and uppers of rubber or plastics, with upper straps or thongs assembled to the sole by means of plugs (excl. toy footwear); 420212 - Trunks, suitcases, vanity cases, executive-cases, briefcases, school satchels and similar containers, with outer surface of plastics or textile materials; 640291 - Footwear covering the ankle, with outer soles and uppers of rubber or plastics (excl. waterproof footwear of heading 6401, sports footwear, orthopaedic footwear and toy footwear); 640312 - Ski-boots, cross-country ski footwear and snowboard boots, with outer soles of rubber, plastics, leather or composition leather and uppers of leather; 640319 - Sports footwear, with outer soles of rubber, plastics, leather or composition leather and uppers of leather (excl. ski-boots, cross-country ski footwear, snowboard boots and skating boots with ice or roller skates attached); 640320 - Footwear with outer soles of leather, and uppers which consist of leather straps across the instep and around the big toe; 640340 - Footwear, incorporating a protective metal toecap, with outer soles of rubber, plastics, leather or composition leather and uppers of leather (excl. sports footwear and orthopaedic footwear); 640351 - Footwear with outer soles and uppers of leather, covering the ankle (excl. incorporating a protective metal toecap, sports footwear, orthopaedic footwear and toy footwear); 640359 - Footwear with outer soles and uppers of leather (excl. covering the ankle, incorporating a protective metal toecap, with uppers which consist of leather straps across the instep and around the big toe, sports footwear, orthopaedic footwear and toy footwear); 640391 - Footwear with outer soles of rubber, plastics or composition leather, with uppers of leather, covering the ankle (excl. incorporating a protective metal toecap, sports footwear, orthopaedic footwear and toy footwear); 640399 - Footwear with outer soles of rubber, plastics or composition leather, with uppers of leather (excl. covering the ankle, incorporating a protective metal toecap, sports footwear, orthopaedic footwear and toy footwear); 640411 - Sports footwear, incl. tennis shoes, basketball shoes, gym shoes, training shoes and the like, with outer soles of rubber or plastics and uppers of textile materials; 640419 - Footwear with outer soles of rubber or plastics and uppers of textile materials (excl. sports footwear, incl. tennis shoes, basketball shoes, gym shoes, training shoes and the like, and toy footwear); 640420 - Footwear with outer soles of leather or composition leather and uppers of textile materials (excl. toy footwear); 640510 - Footwear with uppers of leather or composition leather (excl. with outer soles of rubber, plastics, leather or composition leather and uppers of leather, orthopaedic footwear and toy footwear); 640520 - Footwear with uppers of textile materials (excl. with outer soles of rubber, plastics, leather or composition leather, orthopaedic footwear and toy footwear); 640299 - Footwear with outer soles and uppers of rubber or plastics (excl. covering the ankle or with upper straps or thongs assembled to the sole by means of plugs, waterproof footwear of heading 6401, sports footwear, orthopaedic footwear and toy footwear); 420211 - Trunks, suitcases, vanity cases, executive-cases, briefcases, school satchels and similar containers, with outer surface of leather, composition leather or patent leather; 640510 - Footwear with uppers of leather or composition leather (excl. with outer soles of rubber, plastics, leather or composition leather and uppers of leather, orthopaedic footwear and toy footwear); 640520 - Footwear with uppers of textile materials (excl. with outer soles of rubber, plastics, leather or composition leather, orthopaedic footwear and toy footwear); 420219 - Trunks, suit-cases, vanity-cases, executive-cases, brief-cases, school satchels and similar containers (excl. with outer surface of leather, composition leather, patent leather, plastics or textile materials); 640192 - Waterproof footwear covering the ankle, but not the knee, with outer soles and uppers of rubber or of plastics, the uppers of which are neither fixed to the sole nor assembled by stitching, riveting, nailing, screwing, plugging or similar processes (excl. incorporating a protective metal toecap, orthopaedic footwear, skating boots with ice or roller skates attached, and toy footwear); 640291 - Footwear covering the ankle, with outer soles and uppers of rubber or plastics (excl. incorporating a protective metal toecap, waterproof footwear of heading 6401, sports footwear, orthopaedic footwear and toy footwear); 640359 - Footwear with outer soles and uppers of leather (excl. covering the ankle, incorporating a protective metal toecap, made on a base or platform of wood, without in-soles, with uppers which consist of leather straps across the instep and around the big toe, sports footwear, orthopaedic footwear, and toy footwear); 640419 - Footwear with outer soles of rubber or plastics and uppers of textile materials (excl. sports footwear, incl. tennis shoes, basketball shoes, gym shoes, training shoes and the like, and toy footwear); 640590 - Footwear with outer soles of rubber or plastics, with uppers other than rubber, plastics, leather or textile materials; footwear with outer soles of leather or composition leather, with uppers other than leather or textile materials; footwear with outer soles of wood, cork, paperboard, furskin, felt, straw, loofah, etc., with uppers other than leather, composition leather or textile materials, n.e.s.; 420212 - Trunks, suit-cases, vanity-cases, executive-cases, brief-cases, school satchels and similar containers, with outer surface of plastics or textile materials; 640299 - Footwear with outer soles and uppers of rubber or plastics (excl. covering the ankle or with upper straps or thongs assembled to the sole by means of plugs, waterproof footwear of heading 6401, sports footwear, orthopaedic footwear and toy footwear); 640340 - Footwear, incorporating a protective metal toecap, with outer soles of rubber, plastics, leather or composition leather and uppers of leather (excl. sports footwear and orthopaedic footwear); 640411 - Sports footwear, incl. tennis shoes, basketball shoes, gym shoes, training shoes and the like, with outer soles of rubber or plastics and uppers of textile materials; 420221 - Handbags, whether or not with shoulder straps, incl. those without handles, with outer surface of leather, composition leather or patent leather; 420299 - Travelling-bags, shopping or tool bags, jewellery boxes, cutlery cases and similar, with outer surface of vulcanised fibre or paperboard; cases for binoculars, cameras, musical instruments, guns, holsters and similar containers with outer surface of materials (not leather, plastic sheeting or textile materials) (excl. trunks, brief-cases, school satchels and similar; handbags; articles normally carried in pocket or handbag); 640219 - Sports footwear with outer soles and uppers of rubber or plastics (excl. waterproof footwear of heading 6401, ski-boots, cross-country ski footwear, snowboard boots and skating boots with ice or roller skates attached); 640420 - Footwear with outer soles of leather or composition leather and uppers of textile materials (excl. toy footwear); 640212 - Ski-boots, cross-country ski footwear and snowboard boots, with outer soles and uppers of rubber or plastics (excl. waterproof footwear of heading 6401); 640351 - Footwear with outer soles and uppers of leather, covering the ankle (excl. incorporating a protective metal toecap, sports footwear, orthopaedic footwear and toy footwear); 640391 - Footwear with outer soles of rubber, plastics or composition leather, with uppers of leather, covering the ankle (excl. incorporating a protective metal toecap, sports footwear, orthopaedic footwear and toy footwear); 420229 - Handbags, whether or not with shoulder strap, incl. those without handle, with outer surface of vulcanised fibre or paperboard, or wholly or mainly covered with such materials or with paper; 420291 - Travelling-bags, insulated food or beverage bags, toilet bags, rucksacks, shopping-bags, map-cases, tool bags, sports bags, jewellery boxes, cutlery cases, binocular cases, camera cases, musical instrument cases, gun cases, holsters and similar containers, with outer surface of leather, composition leather or patent leather (excl. trunks, brief-cases, school satchels and similar containers, handbags and articles normally carried in the pocket or handbag); 640320 - Footwear with outer soles of leather, and uppers which consist of leather straps across the instep and around the big toe; 640220 - Footwear with outer soles and uppers of rubber or plastics, with upper straps or thongs assembled to the sole by means of plugs (excl. toy footwear); 640312 - Ski-boots, cross-country ski footwear and snowboard boots, with outer soles of rubber, plastics, leather or composition leather and uppers of leather; 640319 - Sports footwear, with outer soles of rubber, plastics, leather or composition leather and uppers of leather (excl. ski-boots, cross-country ski footwear, snowboard boots and skating boots with ice or roller skates attached); 640399 - Footwear with outer soles of rubber, plastics or composition leather, with uppers of leather (excl. covering the ankle, incorporating a protective metal toecap, made on a base or platform of wood, without in-soles, sports footwear, orthopaedic footwear and toy footwear); 420222 - Handbags, whether or not with shoulder straps, incl. those without handles, with outer surface of plastic sheeting or textile materials; 640110 - Waterproof footwear incorporating a protective metal toecap, with outer soles and uppers of rubber or of plastics, the uppers of which are neither fixed to the sole nor assembled by stitching, riveting, nailing, screwing, plugging or similar processes (excl. skating boots with ice or roller skates attached, shin-guards and similar protective sportswear); 640199 - Waterproof footwear covering neither the ankle nor the knee, with outer soles and uppers of rubber or of plastics, the uppers of which are neither fixed to the sole nor assembled by stitching, riveting, nailing, screwing, plugging or similar processes (excl. incorporating a protective metal toecap, orthopaedic footwear, skating boots with ice or roller skates attached, and toy footwear); 420292 - Travelling-bags, insulated food or beverage bags, toilet bags, rucksacks, shopping-bags, map-cases, tool bags, sports bags, jewellery boxes, cutlery cases, binocular cases, camera cases, musical instrument cases, gun cases, holsters and similar containers, with outer surface of plastic sheeting or textile materials (excl. trunks, brief-cases, school satchels and similar containers, handbags and articles carried in the pocket or handbag); 420211 - Trunks, suit-cases, vanity-cases, executive-cases, brief-cases, school satchels and similar containers, with outer surface of leather, composition leather or patent leather</t>
  </si>
  <si>
    <t>Labelling; Labelling; Labelling</t>
  </si>
  <si>
    <t>DKS 3022:2024,Boerewors – Specification</t>
  </si>
  <si>
    <t>This Kenya Standard specifies requirements, methods of sampling and test for boerewors made from meat intended for human consumption.</t>
  </si>
  <si>
    <t>Meat and meat products (ICS code(s): 67.120.10)</t>
  </si>
  <si>
    <t>160100 - Sausages and similar products, of meat, meat offal, blood or insects; food preparations based on these products</t>
  </si>
  <si>
    <t>67.120.10 - Meat and meat products</t>
  </si>
  <si>
    <d:r xmlns:d="http://schemas.openxmlformats.org/spreadsheetml/2006/main">
      <d:rPr>
        <d:sz val="11"/>
        <d:rFont val="Calibri"/>
      </d:rPr>
      <d:t xml:space="preserve">https://members.wto.org/crnattachments/2024/SPS/KEN/24_07957_00_e.pdf</d:t>
    </d:r>
  </si>
  <si>
    <t>Bolivia, Plurinational State of</t>
  </si>
  <si>
    <t>Resolución 2439 "Lineamientos (método de ensayo) para la determinación de los materiales predominantes del calzado." (Resolution No. 2439, "Guidelines (test method) to determine the predominant materials of footwear")</t>
  </si>
  <si>
    <t xml:space="preserve">The Republic of Colombia, on behalf of the Plurinational State of Bolivia, Ecuador and Peru, as member countries of the Andean Community, hereby notifies the issuance of Resolution  1 This information can be provided by including a website address, a PDF attachment, or other information on where the text of the final measure/change to the measure/interpretative guidance can be obtained.  G/TBT/N/BOL/26/Add.1 • G/TBT/N/COL/267/Add.1 • G/TBT/N/ECU/523/Add.1 • G/TBT/N/PER/156/Add.1  - 2 -    No. 2439, "Guidelines (test method) to determine the predominant materials of footwear", which approves guidelines (test method) to determine the predominant materials of footwear. __________</t>
  </si>
  <si>
    <t>CALZADO, POLAINAS Y ARTÍCULOS ANÁLOGOS; PARTES DE ESTOS ARTÍCULOS (Código(s) del SA: 64)</t>
  </si>
  <si>
    <t>64 - FOOTWEAR, GAITERS AND THE LIKE; PARTS OF SUCH ARTICLES; 64 - FOOTWEAR, GAITERS AND THE LIKE; PARTS OF SUCH ARTICLES</t>
  </si>
  <si>
    <t>Prevention of deceptive practices and consumer protection (TBT); Prevention of deceptive practices and consumer protection (TBT)</t>
  </si>
  <si>
    <d:r xmlns:d="http://schemas.openxmlformats.org/spreadsheetml/2006/main">
      <d:rPr>
        <d:sz val="11"/>
        <d:rFont val="Calibri"/>
      </d:rPr>
      <d:t xml:space="preserve">https://members.wto.org/crnattachments/2024/TBT/COL/final_measure/24_07947_00_s.pdf
https://www.comunidadandina.org/DocOficialesFiles/resoluciones/RESOLUCIONN%C2%B02439.docx</d:t>
    </d:r>
  </si>
  <si>
    <t>Seeds; Territory protection; Plant health; Human health; Adoption/publication/entry into force of reg.; Seeds; Territory protection; Plant health; Human health</t>
  </si>
  <si>
    <t>Notice of Administration Order of Saudi Food and Drug Authority Ref. No. 12597 dated 16 September 2024 entitled “Temporary ban on importation of poultry meat, eggs and their products originating from Finistère in France”</t>
  </si>
  <si>
    <t>The Saudi Food and Drug Authority (SFDA) issued the Notice of Administration Order of Saudi Food and Drug Authority Ref. No. 12597 dated 16 September 2024 entitled “Temporary ban on importation of poultry meat, eggs and their products originating from Finistère in France”. The Saudi Food and Drug Authority (SFDA) has subsequently issued the Notice Administrative Order No. 24294 dated 19 November 2024, lifting the temporary ban on the importation of poultry meat, eggs and their products originating from Finistère in France, based on the WOAH report dated 15 November 2024, indicating that Finistère in France is free of Highly Pathogenic Avian Influenza Virus (HPAI).</t>
  </si>
  <si>
    <t>Human health; Avian Influenza; Animal health; Food safety; Zoonoses; Animal diseases; Pest- or Disease- free Regions / Regionalization; Withdrawal of the measure; Avian Influenza; Zoonoses; Pest- or Disease- free Regions / Regionalization; Animal diseases; Food safety; Animal health; Human health</t>
  </si>
  <si>
    <d:r xmlns:d="http://schemas.openxmlformats.org/spreadsheetml/2006/main">
      <d:rPr>
        <d:sz val="11"/>
        <d:rFont val="Calibri"/>
      </d:rPr>
      <d:t xml:space="preserve">https://members.wto.org/crnattachments/2024/SPS/SAU/24_07965_00_x.pdf</d:t>
    </d:r>
  </si>
  <si>
    <t>DKS 3016-1: 2024 National addressing system – Part 1: Classifications and requirements </t>
  </si>
  <si>
    <t>This part 1 of KS 3016 provides a framework for classification of addresses according to address elements and the order in which the elements are arranged. It classifies all addresses into a simple, complete categories of address classes.This standard prescribes a postcodes format and provides requirements for signage.</t>
  </si>
  <si>
    <t>35.240 Applications of information technology</t>
  </si>
  <si>
    <t>35.240 - Applications of information technology</t>
  </si>
  <si>
    <d:r xmlns:d="http://schemas.openxmlformats.org/spreadsheetml/2006/main">
      <d:rPr>
        <d:sz val="11"/>
        <d:rFont val="Calibri"/>
      </d:rPr>
      <d:t xml:space="preserve">https://members.wto.org/crnattachments/2024/TBT/KEN/24_07955_00_e.pdf
Kenya Bureau of Standards
WTO/TBT National Enquiry Point
P.O. Box: 54974-00200
 Nairobi
 Kenya
Telephone: + (254) 020 605490
 605506/6948258
Fax: + (254) 020 609660/609665
E-mail: info@kebs.org; Website: http://www.kebs.org
</d:t>
    </d:r>
  </si>
  <si>
    <t>Proyecto que modifica la resolución No 060-2024-CV-ARP-SFE del 23 de julio de 2024, que establece medidas fitosanitarias para la importación de plantas para plantar y plantas in vitro de la familia Musaceae (Musa sp.) para plantar, originarias de cualquier país Y establece medidas para la mitigación del riesgo de la plaga Fusarium oxysporum f. sp. cubense raza 4 tropical (Foc R4T) (Draft amendment to Resolution No. 060-2024-CV-ARP-SFE of 23 July 2024, establishing phytosanitary measures for the importation of plants for planting and in vitro plants for planting of the Musaceae (Musa sp.) family originating in any country, and establishing measures to mitigate the risk of the Fusarium oxysporum f. sp. cubense tropical race 4 (Foc TR4) pest)</t>
  </si>
  <si>
    <t xml:space="preserve">The notified measure amends Resolution No. 060-2024-CV-ARP-SFE of the State Phytosanitary Service, Standards and Regulations Department, Pest Risk Analysis Unit, establishing phytosanitary measures for the importation of plants for planting and in vitro plants for planting of the Musaceae (Musa sp.) family originating in any country, and establishing phytosanitary measures to mitigate the risk of the Fusarium oxysporum f. sp. cubense tropical race 4 (Foc TR4) pest, of 23 July 2024, as follows: The text of paragraph 2, subparagraphs (a), (b), (c) and (d), of the operative provisions is replaced with: "The following phytosanitary measures are established for the importation of plants for planting, dried plants, and dried parts and trimmings of plants of the Musaceae family, as well as soil: a) The importation from any country of plants for planting of the Musaceae family, except for in vitro plants and botanical seeds, is prohibited; b) The importation of dried plants and dried parts and trimmings of plants of the Musaceae family from any country is prohibited (except for dried parts for research or laboratory samples from countries free from the Fusarium oxysporum f. sp. cubense tropical race 4 (Foc TR4) pest, provided that the laboratories studying them are duly G/SPS/N/CRI/289 - 2 -   approved by the State Phytosanitary Service in accordance with the established procedures); c) The importation of soil samples from countries where Fusarium oxysporum f. sp. cubense tropical race 4 (Foc TR4) is present is prohibited; d) The prohibition on the importation of soil as a growing medium from any country is maintained." The other guidelines set out in the operative provisions of Resolution No. 60-2024-CV-ARP-SFE of 23 July 2024 remain fully in force.</t>
  </si>
  <si>
    <t>Plants for planting, in vitro plants for planting, botanical seeds, dried plants, and dried parts and trimmings of plants of the Musaceae (Musa sp.) family, and soil samples</t>
  </si>
  <si>
    <d:r xmlns:d="http://schemas.openxmlformats.org/spreadsheetml/2006/main">
      <d:rPr>
        <d:sz val="11"/>
        <d:rFont val="Calibri"/>
      </d:rPr>
      <d:t xml:space="preserve">https://members.wto.org/crnattachments/2024/SPS/CRI/24_07951_00_s.pdf</d:t>
    </d:r>
  </si>
  <si>
    <t>General conformity assessment framework</t>
  </si>
  <si>
    <t xml:space="preserve">Please be advised that a regulation supplementing Secretariat of Industry and Trade Resolution No. 237/2024, notified in document G/TBT/N/ARG/458, and approving the technical and procedural specifications of the general conformity assessment framework approved by the aforementioned Resolution, was issued pursuant to Order No. 1/2024 of the National Technical Regulation Directorate of the Secretariat of Industry and Trade. This measure defines the terms applied to the general conformity assessment framework and establishes supplementary and procedural provisions in relation to section 2.1, on accreditation; section 3, on conformity assessment (use or transfer of documents, sworn declaration of conformity,  1 This information can be provided by including a website address, a PDF attachment, or other information on where the text of the final measure/change to the measure/interpretative guidance can be obtained. G/TBT/N/ARG/458/Add.1 - 2 -   conformity assessment procedures, and labelling and marking requirements and specifications) and section 4, on compliance monitoring. In relation to conformity marking, it establishes that manufacturers and importers of products requiring a product certification under a technical regulation could opt to retain the security seal that they have been using on their products or adopt the conformity marking introduced in section 3.3 of the Annex to Resolution No. 237/2024, until the date indicated in Article 4 thereof. Once the conformity marking requirement comes into effect, the products referred to in the previous paragraph should be marked according to the specifications set out in section 3.3 of the Annex to Resolution No. 237/2024 and section 3.4 of the Annex to the Order. Punto Focal OTC-OMC Argentina (Argentine TBT-WTO Focal Point) Dirección Nacional de Reglamentos Técnicos (National Technical Regulation Directorate) Área Obstáculos Técnicos al Comercio (Technical Barriers to Trade Division) Av. Julio A. Roca N° 651 Of. 416 (C1067ABB) Buenos Aires, Argentina Email: focalotc@produccion.gob.ar __________</t>
  </si>
  <si>
    <t>All products covered by technical regulations issued by the Secretariat of Industry and Trade</t>
  </si>
  <si>
    <t>Consumer information, labelling (TBT); Prevention of deceptive practices and consumer protection (TBT); Reducing trade barriers and facilitating trade (TBT)</t>
  </si>
  <si>
    <d:r xmlns:d="http://schemas.openxmlformats.org/spreadsheetml/2006/main">
      <d:rPr>
        <d:sz val="11"/>
        <d:rFont val="Calibri"/>
      </d:rPr>
      <d:t xml:space="preserve">https://members.wto.org/crnattachments/2024/TBT/ARG/modification/24_07952_00_s.pdf
https://members.wto.org/crnattachments/2024/TBT/ARG/modification/24_07952_01_s.pdf</d:t>
    </d:r>
  </si>
  <si>
    <t>Speed Measuring Device Conformity--RADAR</t>
  </si>
  <si>
    <t xml:space="preserve">Notice of Transition of the NHTSA managed Down The Road (DTR) 
Radar Speed Measuring Device (SMD) Conforming Products List (CPL) 
program to an industry-based Verification Program - The National Highway Traffic Safety Administration (NHTSA) 
provides notice to the public that the Conforming Products List (CPL) 
maintained and updated by NHTSA for Down The Road (DTR) radar speed 
measuring devices will be discontinued. A new industry-based product 
Verification Program has been developed to confirm that DTR radar speed 
measuring devices conform to certain minimum specifications. The new 
industry-based product Verification Program will provide manufacturers 
the flexibility to confirm conformance with any testing entity as long 
as the entity can fulfill the requirements for testing and verifying 
device compliance with the established performance specifications, 
testing protocols and laboratory accreditation requirements of the 
industry-based Verification Program. To afford manufacturers time to 
transition to the new program, NHTSA will maintain the CPL for one year 
after the date of this notice.&gt;Under the new Verification Program, a DTR radar speed measuring 
device manufacturer can use an accredited testing entity to verify that 
its speed measuring device conforms to an established performance 
standard and will be placed on a verified products list maintained by 
the Verification Program. Please refer to the NIST website for a list 
of available Verification Programs: https://www.nist.gov/mml/mmsd/security-technologies-group/down-road-dtr-radar. The new Verification 
Program will provide manufacturers with a proven method of 
demonstrating compliance to the minimum performance specifications, 
will empower end-users to make better purchasing decisions, and benefit 
manufacturers as products can quickly gain market acceptance.&gt;Accordingly, as of the date of this publication, NHTSA will no 
longer perform CPL processing under the Interim Administrative Guide 
for the Traffic Enforcement Technologies Program.</t>
  </si>
  <si>
    <t>Speed measuring devices conformity; Radar apparatus (HS code(s): 852610); Quality (ICS code(s): 03.120); Electrical and electronic testing (ICS code(s): 19.080); Road equipment and installations (ICS code(s): 93.080.30)</t>
  </si>
  <si>
    <t>852610 - Radar apparatus</t>
  </si>
  <si>
    <t>03.120 - Quality; 19.080 - Electrical and electronic testing; 93.080.30 - Road equipment and installations</t>
  </si>
  <si>
    <d:r xmlns:d="http://schemas.openxmlformats.org/spreadsheetml/2006/main">
      <d:rPr>
        <d:sz val="11"/>
        <d:rFont val="Calibri"/>
      </d:rPr>
      <d:t xml:space="preserve">https://members.wto.org/crnattachments/2024/TBT/USA/24_07925_00_e.pdf</d:t>
    </d:r>
  </si>
  <si>
    <t>TBS/ AFDC 17 (2978) DTZS,Code of practice for Honey processing,First Edition.</t>
  </si>
  <si>
    <t>This  draft standard prescribes the code of practice for production, harvesting, processing, storage, packaging and transportation of honey. This Standard applies to honey produced by Apis mellifera bees. However, honey from other bee species may be allowed as long as the honey produced by other bee species meets the criteria in the standard</t>
  </si>
  <si>
    <t>Natural honey. (HS code(s): 0409); Agriculture (ICS code(s): 65)</t>
  </si>
  <si>
    <t>0409 - Natural honey.</t>
  </si>
  <si>
    <t>65 - Agriculture</t>
  </si>
  <si>
    <d:r xmlns:d="http://schemas.openxmlformats.org/spreadsheetml/2006/main">
      <d:rPr>
        <d:sz val="11"/>
        <d:rFont val="Calibri"/>
      </d:rPr>
      <d:t xml:space="preserve">https://members.wto.org/crnattachments/2024/TBT/TZA/24_07929_00_e.pdf</d:t>
    </d:r>
  </si>
  <si>
    <t>Mozambique</t>
  </si>
  <si>
    <t>Regulation on the Control of Production, Commercialization, Importation and Consumption of Alcoholic Beverages</t>
  </si>
  <si>
    <t>This Regulation approves the mechanisms to be observed in the control of the production, commercialisation, import and consumption of alcoholic beverages on national territory.</t>
  </si>
  <si>
    <t xml:space="preserve">Other fermented beverages (for example, cider, perry, mead, saké); mixtures of fermented beverages and mixtures of fermented beverages and non-alcoholic beverages, not elsewhere specified or included. (HS code(s): 2206); Undenatured ethyl alcohol of an alcoholic strength of </t>
  </si>
  <si>
    <t>2208 - Undenatured ethyl alcohol of an alcoholic strength of &lt; 80%; spirits, liqueurs and other spirituous beverages (excl. compound alcoholic preparations of a kind used for the manufacture of beverages); 2206 - Other fermented beverages (for example, cider, perry, mead, saké); mixtures of fermented beverages and mixtures of fermented beverages and non-alcoholic beverages, not elsewhere specified or included.</t>
  </si>
  <si>
    <t>67.160.10 - Alcoholic beverages</t>
  </si>
  <si>
    <t>National security requirements (TBT); Consumer information, labelling (TBT); Prevention of deceptive practices and consumer protection (TBT); Protection of human health or safety (TBT); Protection of the environment (TBT); Quality requirements (TBT)</t>
  </si>
  <si>
    <d:r xmlns:d="http://schemas.openxmlformats.org/spreadsheetml/2006/main">
      <d:rPr>
        <d:sz val="11"/>
        <d:rFont val="Calibri"/>
      </d:rPr>
      <d:t xml:space="preserve">https://members.wto.org/crnattachments/2024/TBT/MOZ/24_07932_00_x.pdf</d:t>
    </d:r>
  </si>
  <si>
    <t>DKS 3020:2024, Linseed (Flaxseed) - Specification</t>
  </si>
  <si>
    <t>This draft Kenya Standard specifies the requirements, sampling and test methods for linseed (Linum usitatissimum) intended for direct human consumption.</t>
  </si>
  <si>
    <t>Oil seeds and oleaginous fruits; miscellaneous grains, seeds and fruit; industrial or medicinal plants; straw and fodder (HS code(s): 12); Oilseeds (ICS code(s): 67.200.20)</t>
  </si>
  <si>
    <t>67.200.20 - Oilseeds</t>
  </si>
  <si>
    <d:r xmlns:d="http://schemas.openxmlformats.org/spreadsheetml/2006/main">
      <d:rPr>
        <d:sz val="11"/>
        <d:rFont val="Calibri"/>
      </d:rPr>
      <d:t xml:space="preserve">https://members.wto.org/crnattachments/2024/SPS/KEN/24_07851_00_e.pdf</d:t>
    </d:r>
  </si>
  <si>
    <t>DKS 3023:2024,Mutura - Specification</t>
  </si>
  <si>
    <t>This Kenya Standard specifies requirements, methods of sampling and test for mutura intended for human consumption.</t>
  </si>
  <si>
    <d:r xmlns:d="http://schemas.openxmlformats.org/spreadsheetml/2006/main">
      <d:rPr>
        <d:sz val="11"/>
        <d:rFont val="Calibri"/>
      </d:rPr>
      <d:t xml:space="preserve">https://members.wto.org/crnattachments/2024/SPS/KEN/24_07855_00_e.pdf</d:t>
    </d:r>
  </si>
  <si>
    <t>The DLD order on temporary suspension of importation or transit of live poultry and poultry carcasses from Chinese Taipeito prevent the spread of Highly Pathogenic Avian Influenza (Subtype H5N1)</t>
  </si>
  <si>
    <t>The WOAH has reported an outbreak of Highly Pathogenic Avian Influenza (Subtype H5N1) in Changhua and Pingtung of Chinese Taipei. Therefore, it is necessary for Thailand to prevent the entry of disease into the country. By the virtue of Animal Epidemics Act B.E. 2558 (2015), the importation or transit of live poultry and poultry carcasses from Chinese Taipei has been temporarily suspended. Except the feathers and down of poultry that have been processed in the approved establishment by the DLD and these commodities that have been processed to ensure the destruction of avian influenza virus recommended by WOAH terrestrial Animal Health code topics 10.4.22 and 10.4.23 which use one of the following methods:washed and steam-dried at 100 ºC for 30 minutes; fumigation with formalin (10% formaldehyde) for 8 hours; irradiation with a dose of 20 kilograys.</t>
  </si>
  <si>
    <t>Draft Resolution number 760</t>
  </si>
  <si>
    <t>Resolution 742, 10 August 2022  - previously notified through G/TBT/N/BRA/955/Add.1 - which establishes the minimal technical requirements for relative bioavailability and bioequivalence studies that supports dossier of consent for clinical research, market authorization or post-market authorization of medicines, in the terms of this resolution, was changed by Resolution 942, 18 November 2024.The final text is available only in Portuguese and can be downloaded at: https://antigo.anvisa.gov.br/documents/10181/3855414/RDC_942_2024_.pdf/bf46fb32-1ddb-4ba9-abf4-e6fac15966e2</t>
  </si>
  <si>
    <t>HS Code(s): 3003; 3004; 3005; 2941 (pharmaceutical products).</t>
  </si>
  <si>
    <t>2941 - Antibiotics; 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in the form of transdermal administration" or in forms or packings for retail sale (excl. goods of heading 3002, 3005 or 3006); 3005 - Wadding, gauze, bandages and the like, e.g. dressings, adhesive plasters, poultices, impregnated or covered with pharmaceutical substances or put up for retail sale for medical, surgical, dental or veterinary purposes; 2941 - Antibiotics; 3005 - Wadding, gauze, bandages and the like, e.g. dressings, adhesive plasters, poultices, impregnated or covered with pharmaceutical substances or put up for retail sale for medical, surgical, dental or veterinary purposes; 3004 - Medicaments consisting of mixed or unmixed products for therapeutic or prophylactic uses, put up in measured doses "incl. those in the form of transdermal administration" or in forms or packings for retail sale (excl. goods of heading 3002, 3005 or 3006); 3003 - Medicaments consisting of two or more constituents mixed together for therapeutic or prophylactic uses, not in measured doses or put up for retail sale (excl. goods of heading 3002, 3005 or 3006)</t>
  </si>
  <si>
    <d:r xmlns:d="http://schemas.openxmlformats.org/spreadsheetml/2006/main">
      <d:rPr>
        <d:sz val="11"/>
        <d:rFont val="Calibri"/>
      </d:rPr>
      <d:t xml:space="preserve">https://members.wto.org/crnattachments/2024/TBT/BRA/modification/24_07917_00_x.pdf</d:t>
    </d:r>
  </si>
  <si>
    <t>The Draft Amendment of Standards for Specification, Scope, Application and Limitation of Food Additives</t>
  </si>
  <si>
    <t>The amendment of "Standards for Specification, Scope, Application and Limitation of Food Additives" is referred to international standards such as Codex Alimentarius Commission (Codex), the European Union, the United States of America, Japan, including the amendment of 53 items;Revision of the note of the standard.</t>
  </si>
  <si>
    <t>Food additives to be used in foods</t>
  </si>
  <si>
    <d:r xmlns:d="http://schemas.openxmlformats.org/spreadsheetml/2006/main">
      <d:rPr>
        <d:sz val="11"/>
        <d:rFont val="Calibri"/>
      </d:rPr>
      <d:t xml:space="preserve">https://members.wto.org/crnattachments/2024/SPS/TPKM/24_07900_00_x.pdf
https://members.wto.org/crnattachments/2024/SPS/TPKM/24_07900_01_x.pdf</d:t>
    </d:r>
  </si>
  <si>
    <t>Draft resolution 1259, 29 May 2024</t>
  </si>
  <si>
    <t>Draft resolution 1259, 29 May 2024 - previously notified through G/TBT/N/BRA/1544 - which contains provisions on Good Storage Practices and Certification of Good Storage Practices for goods and products subject to health surveillance in Bonded Warehouses, was adopted as Resolution 938, 14 November 2024 The final text is available only in Portuguese and can be downloaded at: https://antigo.anvisa.gov.br/documents/10181/6764059/RDC_938_2024_.pdf/79429825-81d7-4d05-94b5-66ffe64ea6c3</t>
  </si>
  <si>
    <t>11 - HEALTH CARE TECHNOLOGY; 11 - Health care technology</t>
  </si>
  <si>
    <d:r xmlns:d="http://schemas.openxmlformats.org/spreadsheetml/2006/main">
      <d:rPr>
        <d:sz val="11"/>
        <d:rFont val="Calibri"/>
      </d:rPr>
      <d:t xml:space="preserve">https://antigo.anvisa.gov.br/documents/10181/6764059/RDC_938_2024_.pdf/79429825-81d7-4d05-94b5-66ffe64ea6c3</d:t>
    </d:r>
  </si>
  <si>
    <t>Draft resolution 1260, 29 May 2024.</t>
  </si>
  <si>
    <t>Draft resolution 1260, 29 May 2024 - previously notified through G/TBT/N/BRA/1545 - which contains provisions on criteria for petitioning for Company Operating Authorization (AFE), Special Operating Authorization (AE) for storage service providers of goods and products subject to health control and inspection in Bonded Warehouses, and Company Operating Authorization (AFE) for importers for the account and order of a third party or order of goods and products subject to health control and inspection and exemption from AFE, was adopted as Resolution 939, 14 November 2024. The final text is available only in Portuguese and can be downloaded at: https://antigo.anvisa.gov.br/documents/10181/6764059/RDC_939_2024_.pdf/f2c79c88-1c1d-4d21-9c1f-4ecf109a7585</t>
  </si>
  <si>
    <d:r xmlns:d="http://schemas.openxmlformats.org/spreadsheetml/2006/main">
      <d:rPr>
        <d:sz val="11"/>
        <d:rFont val="Calibri"/>
      </d:rPr>
      <d:t xml:space="preserve">https://antigo.anvisa.gov.br/documents/10181/6764059/RDC_939_2024_.pdf/f2c79c88-1c1d-4d21-9c1f-4ecf109a7585</d:t>
    </d:r>
  </si>
  <si>
    <t>Established Maximum Residue Limits: Pyriofenone</t>
  </si>
  <si>
    <t>The proposed maximum residue limit (PMRL) document for pyriofenone notified in G/SPS/N/CAN/1534 (dated 12 October 2023) was adopted 19 November 2024. The proposed MRLs were established via entry into the Maximum Residue Limits Database and are provided directly below: MRL (ppm)1 Raw Agricultural Commodity (RAC) and/or Processed Commodity2.0              Peppers/Eggplants (crop subgroup 8-09B)0.2              Tomatoes (crop subgroup 8-09A)1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</si>
  <si>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pyriofenone in or on various commodities (ICS codes: 65.020, 65.100, 67.040, 67.080)</t>
  </si>
  <si>
    <t>Maximum residue limits (MRLs); Pesticides; Food safety; Human health; Adoption/publication/entry into force of reg.; Maximum residue limits (MRLs); Pesticides; Food safety; Human health</t>
  </si>
  <si>
    <t>Draft Commission Regulation amending Regulation (EC) No 1907/2006 of the European Parliament and of the Council as regards carcinogens, germ cell mutagens or reproductive toxicants subject to restrictions.</t>
  </si>
  <si>
    <t>This draft Commission Regulation aims to include within the scope of entries 28 to 30 of Annex XVII to Regulation (EC) No 1907/2006 (“REACH”) several substances, with the effect of restricting their placing on the market or use for supply to the general public as substances on their own, as constituents of other substances or in mixtures and to impose the requirement to mark packaging with the label “restricted to professional users”.  This is consequent to the recent harmonised classification of these substances as CMR category 1A or 1B under Regulation (EC) No 1272/2008 of the European Parliament and of the Council of 16 December 2008 on classification, labelling and packaging of substances and mixtures, as amended by Commission Delegated Regulation (EU) 2024/197 (OJ L, 2024/197, 5.1.2024, ELI: http://data.europa.eu/eli/reg_del/2024/197/ojThis draft Commission Regulation also aims to introduce a derogation from entries 28 to 30 of Annex XVII REACH for cumene in certain types of aviation fuels (kerosene, aviation gasoline) for small airplanes flown by non-professional pilots.</t>
  </si>
  <si>
    <t>Recently classified carcinogens, germ cell mutagens and reproductive toxicants (CMR) category 1A and 1B as substances on their own, as constituents of other substances or in mixtures that are placed on the market or used for supply to the general public.</t>
  </si>
  <si>
    <d:r xmlns:d="http://schemas.openxmlformats.org/spreadsheetml/2006/main">
      <d:rPr>
        <d:sz val="11"/>
        <d:rFont val="Calibri"/>
      </d:rPr>
      <d:t xml:space="preserve">https://members.wto.org/crnattachments/2024/TBT/EEC/24_07930_00_e.pdf
https://members.wto.org/crnattachments/2024/TBT/EEC/24_07930_01_e.pdf</d:t>
    </d:r>
  </si>
  <si>
    <t>Tents Regulations</t>
  </si>
  <si>
    <t xml:space="preserve">The proposed regulatory amendments notified in G/TBT/N/CAN/698 (dated June 20, 2023) were adopted and published in the Canada Gazette, Part II on November 20, 2024 as the Tents Regulations._x000D_
_x000D_
The former Tents Regulations had not changed substantively since they were introduced in 1988 and referenced an outdated industry standard that addresses the flammability issues associated with tent materials commonly used at the time. The performance requirements in the former Regulations were less suited to address flammability hazards for the types of tent materials sold in the market today, which are mainly composed of synthetic textile materials. Health Canada has updated the flammability and fire-safety labelling requirements in the Tents Regulations with contemporary requirements set out in the Canadian General Standards Board standard CAN/CGSB-182.1-2020 Flammability and Labelling Requirements for Tents, using an ambulatory incorporation by reference. Health Canada also added appropriate flammability performance and fire-safety labelling requirements to the Toys Regulations in order to continue regulating children’s play tents not intended to be used as outdoor shelters. These children’s play tents, defined as a “toy intended to be entered by a child”, are subject to the flammability performance requirements from the International Organization for Standardization standard ISO 8124-2:2014 Safety of toys — Part 2: Flammability using an ambulatory incorporation by reference. Fire-safety labelling requirements are also set out in the Toys Regulations for these products. Consequential amendments to the Textile Flammability Regulations exclude products captured in the scope of the amended Toys RegulationsThe Regulations came into force on the date on which they are published in Canada Gazette, Part II (November 20, 2024). A transitional provision of 2 years following the date the Regulations come into force is provided to allow the depletion of existing stock and introduction of products that comply with the new requirements.</t>
  </si>
  <si>
    <t>Tents: of synthetic fibres (HS Code 6306.22.00), of nylon or other polyamides (6306.22.00.30), of polyesters (HS Code 6306.22.00.40), other (HS Code 6306.22.00.90), of other textile materials (HS Code 6306.29.00.00).</t>
  </si>
  <si>
    <t>6306 - Tarpaulins, awnings and sunblinds; tents; sails for boats, sailboards or landcraft; camping goods of all types of textile materials (excl. flat protective coverings of light woven fabrics; umbrella and play tents; rucksacks, napsacks and similar containers; sleeping bags, mattresses and pillows, incl. their fillings); 630622 - Tents of synthetic fibres (excl. umbrella and play tents); 630629 - Tents of textile materials (excl. of synthetic fibres, and umbrella and play tents); 630629 - Tents of textile materials (excl. of synthetic fibres, and umbrella and play tents); 630622 - Tents of synthetic fibres (excl. umbrella and play tents); 6306 - Tarpaulins, awnings and sunblinds; tents; sails for boats, sailboards or landcraft; camping goods of all types of textile materials (excl. flat protective coverings of light woven fabrics; umbrella and play tents; rucksacks, napsacks and similar containers; sleeping bags, mattresses and pillows, incl. their fillings)</t>
  </si>
  <si>
    <t>13.220.40 - Ignitability and burning behaviour of materials and products; 13.220.40 - Ignitability and burning behaviour of materials and products; 59.080.99 - Other products of the textile industry; 59.080.99 - Other products of the textile industry</t>
  </si>
  <si>
    <t>DKS 3019:2024, Sunflower seeds for oil extraction - Specification</t>
  </si>
  <si>
    <t>This draft Kenya Standard specifies requirements, sampling and testing methods for sunflower (Helianthus annuus L.) seeds intended for oil extraction for human consumption.</t>
  </si>
  <si>
    <t>Sunflower seeds, whether or not broken (HS code(s): 1206); Oilseeds (ICS code(s): 67.200.20)</t>
  </si>
  <si>
    <t>1206 - Sunflower seeds, whether or not broken.</t>
  </si>
  <si>
    <d:r xmlns:d="http://schemas.openxmlformats.org/spreadsheetml/2006/main">
      <d:rPr>
        <d:sz val="11"/>
        <d:rFont val="Calibri"/>
      </d:rPr>
      <d:t xml:space="preserve">https://members.wto.org/crnattachments/2024/SPS/KEN/24_07853_00_e.pdf</d:t>
    </d:r>
  </si>
  <si>
    <t>Proyecto de Reglamento para el registro, control y vigilancia sanitaria de los dispositivos médicos (Draft Regulations on the registration, control and sanitary surveillance of medical devices) (103 pages, in Spanish)</t>
  </si>
  <si>
    <t>The purpose of the notified draft Regulations is to establish the regulatory provisions for Law No. 29459 - Law on pharmaceutical products, medical devices and sanitary products - governing the registration, control and sanitary surveillance of medical devices, and accessories thereof, to ensure their safety and performance, with a view to protecting public health.</t>
  </si>
  <si>
    <t>Pharmaceutical products classified under Chapter 30 of the Harmonized System or the Customs Tariff 2022.</t>
  </si>
  <si>
    <d:r xmlns:d="http://schemas.openxmlformats.org/spreadsheetml/2006/main">
      <d:rPr>
        <d:sz val="11"/>
        <d:rFont val="Calibri"/>
      </d:rPr>
      <d:t xml:space="preserve">https://members.wto.org/crnattachments/2024/TBT/PER/24_07915_00_s.pdf
https://www.gob.pe/institucion/minsa/normas-legales/6127220-734-2024-minsa
http://extranet.comunidadandina.org/sirt/public/buscapalavra.aspx
http://consultasenlinea.mincetur.gob.pe/notificaciones/Publico/FrmBuscador.aspx
</d:t>
    </d:r>
  </si>
  <si>
    <t>Morocco</t>
  </si>
  <si>
    <t>Interdiction d'importation d'oiseaux de toutes espèces, de volailles, de viandes de volailles et produits à base de ces viandes et des ovoproduits en provenance des Pays-Bas (Ban on the importation of birds of any species, poultry, poultry meat, poultry meat products and egg products from the Netherlands)</t>
  </si>
  <si>
    <t>The importation of birds of any species, poultry, poultry meat, poultry meat products and egg products from the Netherlands is prohibited until further notice following reports of a number of cases of highly pathogenic avian influenza affecting poultry in the Netherlands.</t>
  </si>
  <si>
    <t>Birds of any species, poultry, poultry meat, poultry meat products and egg products</t>
  </si>
  <si>
    <t>0407 - Birds' eggs, in shell, fresh, preserved or cooked; 0207 - Meat and edible offal of fowls of the species Gallus domesticus, ducks, geese, turkeys and guinea fowls, fresh, chilled or frozen; 01063 - - Birds:; 0105 - Live poultry, "fowls of the species Gallus domesticus, ducks, geese, turkeys and guinea fowls"</t>
  </si>
  <si>
    <t>Turkish Food Codex Regulation on Food Flavourings and certain food ingredients with flavouring properties for use in and on foods </t>
  </si>
  <si>
    <t>The purpose of this Regulation is to determine the flavourings and food ingredients with flavouring properties used in and on foods, the source materials used in their production, their conditions of use and labelling rules, taking into account consumer and human health, consumer rights, ensuring fairness in food sales and protecting the environment.This Regulation has been prepared for compliance with EU Regulation (EC) No 1334/2008, EU Regulation (EC) No 2065/2003 and Commission Implementing Regulation (EU) No 872/2012.</t>
  </si>
  <si>
    <t>Food flavourings and certain food ingredients with flavouring properties</t>
  </si>
  <si>
    <d:r xmlns:d="http://schemas.openxmlformats.org/spreadsheetml/2006/main">
      <d:rPr>
        <d:sz val="11"/>
        <d:rFont val="Calibri"/>
      </d:rPr>
      <d:t xml:space="preserve">https://members.wto.org/crnattachments/2024/SPS/TUR/24_07934_01_x.pdf
https://members.wto.org/crnattachments/2024/SPS/TUR/24_07934_00_x.pdf
https://www.tarimorman.gov.tr/GKGM/Duyuru/613/Mevzuat-Taslagi-Tgk-Aroma-Vericiler-Ve-Aroma-Verme-Ozelligi-Tasiyan-Gida-Bilesenleri-Yonetmeligi</d:t>
    </d:r>
  </si>
  <si>
    <t>Laundry Detergents Containing Nonylphenol Ethoxylates </t>
  </si>
  <si>
    <t>California Department of Toxic Substances Control (DTSC) has finalized a regulation pursuant to the Safer Consumer Products (SCP) Regulations to list a new Priority Product: Laundry Detergents Containing Nonylphenol Ethoxylates (NPEs), effective 1 October 2024.Domestic and foreign manufacturers of laundry detergents (as defined in the regulation) that contain NPEs and whose products are placed into the stream of commerce in California must submit a Priority Product Notification (PPN) for those products by 2 December 2024. After submitting the PPN, manufacturers have the option to submit one of the following through CalSAFER by 1 April 2025:a Chemical Removal IntentConfirmation Notification,a Product Removal IntentConfirmation Notification,a Product-Chemical Replacement IntentConfirmation Notification, ora Preliminary Alternatives Analysis Report or these alternate reporting optionsThese Notifications and Reports should be submitted through DTSC’s CalSAFER portal. Instructional videos are available on how to register for CalSAFER and submit a PPN. For more information on complying with Priority Product regulations, please refer to our training materialsThe responsibility to comply falls first on manufacturers, but if a manufacturer fails to comply, the responsibility to comply may shift to importers or retailers, if DTSC notifies them accordingly. Manufacturers of laundry detergents whose products do not contain NPEs need not take any action.</t>
  </si>
  <si>
    <t>Laundry detergents; Quality (ICS code(s): 03.120); Products of the chemical industry (ICS code(s): 71.100)</t>
  </si>
  <si>
    <t>03.120 - Quality; 71.100 - Products of the chemical industry; 03.120 - Quality; 71.100 - Products of the chemical industry</t>
  </si>
  <si>
    <t>TBS/ AFDC 17 (2978) DTZS, Code of practice for Honey processing, First Edition</t>
  </si>
  <si>
    <t>This  draft standard prescribes the code of practice for production, harvesting, processing, storage, packaging and transportation of honey. This Standard applies to honey produced by Apis mellifera bees. However, honey from other bee species may be allowed as long as the honey produced by other bee species meets the criteria in the standard.</t>
  </si>
  <si>
    <t>Natural honey (HS code(s): 0409); Processes in the food industry (ICS code(s): 67.020)</t>
  </si>
  <si>
    <t>67.020 - Processes in the food industry</t>
  </si>
  <si>
    <d:r xmlns:d="http://schemas.openxmlformats.org/spreadsheetml/2006/main">
      <d:rPr>
        <d:sz val="11"/>
        <d:rFont val="Calibri"/>
      </d:rPr>
      <d:t xml:space="preserve">https://members.wto.org/crnattachments/2024/SPS/TZA/24_07921_00_e.pdf</d:t>
    </d:r>
  </si>
  <si>
    <t>DKS 2958-2:2024, Nuts and Oil Crops industry - Code of practice  Part 2 Annual nuts and oilseed crops</t>
  </si>
  <si>
    <t>This draft Kenya Code of Practice for the Nuts and Oil Crops industry specifies the requirements essential for legal compliance, the responsible and safe production of annual nuts and oilseed crops. The code also guides the procurement of inputs and marketing of annual nuts and oilseed crops products. It applies to all industry players in their respective and relevant value chain node including but not limited to; seed merchants, nursery operators, growers, marketing agents, aggregators, transporters, manufacturers, shippers, and cargo handlers. The code also provides the basis for licensing and/or certification of industry players.</t>
  </si>
  <si>
    <t>Edible fruit and nuts; peel of citrus fruit or melons (HS code(s): 08); Oil seeds and oleaginous fruits; miscellaneous grains, seeds and fruit; industrial or medicinal plants; straw and fodder (HS code(s): 12); Other standards related to farming and forestry (ICS code(s): 65.020.99)</t>
  </si>
  <si>
    <t>08 - EDIBLE FRUIT AND NUTS; PEEL OF CITRUS FRUIT OR MELONS; 12 - OIL SEEDS AND OLEAGINOUS FRUITS; MISCELLANEOUS GRAINS, SEEDS AND FRUIT; INDUSTRIAL OR MEDICINAL PLANTS; STRAW AND FODDER</t>
  </si>
  <si>
    <t>65.020.99 - Other standards related to farming and forestry</t>
  </si>
  <si>
    <d:r xmlns:d="http://schemas.openxmlformats.org/spreadsheetml/2006/main">
      <d:rPr>
        <d:sz val="11"/>
        <d:rFont val="Calibri"/>
      </d:rPr>
      <d:t xml:space="preserve">https://members.wto.org/crnattachments/2024/SPS/KEN/24_07845_00_e.pdf</d:t>
    </d:r>
  </si>
  <si>
    <t>DKS 3018:2024, Canola (Rapeseed) seeds for oil extraction - Specification</t>
  </si>
  <si>
    <t>This draft Kenya Standard specifies requirements, sampling and testing methods for canola seeds of the species Brassica napus L., Brassica rapa L., Brassica juncea L. and Brassica tournefortii Gouan intended for oil extraction for human consumption.</t>
  </si>
  <si>
    <d:r xmlns:d="http://schemas.openxmlformats.org/spreadsheetml/2006/main">
      <d:rPr>
        <d:sz val="11"/>
        <d:rFont val="Calibri"/>
      </d:rPr>
      <d:t xml:space="preserve">https://members.wto.org/crnattachments/2024/SPS/KEN/24_07843_00_e.pdf</d:t>
    </d:r>
  </si>
  <si>
    <t>Notification of the National Broadcasting and Telecommunications Commission: Technical Standard for Digital Radio Receiver (NBTC TS 3004-2567 (2024))</t>
  </si>
  <si>
    <t>The standard specifies the minimum technical requirements for digital radio receiver. It includes:(1) Type of digital radio receivers to comply with this standard(2) Transmitter Standard(3) General Technical Characteristic(4) Core Technology Requirements(5) Electrical Safety Requirements(6) Technical Conformity</t>
  </si>
  <si>
    <t>Digital radio receiver</t>
  </si>
  <si>
    <t>33.060.20 - Receiving and transmitting equipment; 33.060.20 - Receiving and transmitting equipment</t>
  </si>
  <si>
    <d:r xmlns:d="http://schemas.openxmlformats.org/spreadsheetml/2006/main">
      <d:rPr>
        <d:sz val="11"/>
        <d:rFont val="Calibri"/>
      </d:rPr>
      <d:t xml:space="preserve">https://members.wto.org/crnattachments/2024/TBT/THA/final_measure/24_07927_00_x.pdf</d:t>
    </d:r>
  </si>
  <si>
    <t>Resolution of the Cabinet of Ministers of Ukraine No. 1301 “On Amendments to Certain Resolutions of the Cabinet of Ministers of Ukraine Concerning the Implementation of Official Control Measures” of 15 November 2024</t>
  </si>
  <si>
    <t>The Resolution of the Cabinet of Ministers of Ukraine  No. 1301 “On Amendments to Certain Resolutions of the Cabinet of Ministers of Ukraine Concerning the Implementation of Official Control Measures” of 15 November 2024  (hereinafter - the Resolution) has been adopted to align the Resolutions of the Cabinet of Ministers of Ukraine No. 960 “On Some Issues of Official Control Measures of Goods Imported into the Customs Territory of Ukraine (including for the Purpose of Transit)” of 24 October 2018 and No. 1177 “On Some Issues of Implementation of the Law on Plant Quarantine” of 15 November 2019 in accordance with the provisions of the Law of Ukraine "On the Customs Tariff of Ukraine", as well as to improve and simplify control procedures at the state border.The Resolution stipulates the following:the lists of goods (regulatory objects), approved by Resolutions No. 960 and No. 1177, have been updated so that the descriptions of goods (regulatory objects) and their codes according to the UKTZED (Ukrainian Classification of Goods for Foreign Economic Activity) comply with the provisions of the Customs Tariff of Ukraine;Section 2 of the List of goods subject to veterinary and sanitary control, approved by Resolution No. 960, has been supplemented with the following items: crustaceans, with or without shell, live for breeding (heading 0306 according to UKTZED); molluscs, with or without shell, live for breeding (heading 0307 according to UKTZED); corals for breeding (subheading 0508 00 according to UKTZED); semen and embryos of animals, fertilized fish eggs (heading 0511 according to UKTZED); veterinary vaccines (subheading 3002 42 00 00 according to UKTZED); other medicinal products used in veterinary medicine and animal husbandry (subheading 3004 90 00 00 according to UKTZED);The List of Goods, approved by Resolution No. 960, specifies that veterinary and sanitary control of veterinary products in the form of preliminary documentary control is not conducted;The List of Documents, approved by Resolution No. 960, specifies that only electronic (scanned) copies of documents, bearing a qualified electronic signature of the declarant or their authorized representative, based on a qualified electronic signature certificate, will be accepted;The Procedure for Interaction between Declarants, Their Representatives, Other Stakeholders and Customs Authorities, Other State Authorities, Institutions and Organisations Authorised to Perform Permitting or Control Functions for the Movement of Goods, Commercial Vehicles across the Customs Border of Ukraine Using the 'Single Window' Mechanism and Invalidation of Certain Resolutions of the Cabinet of Ministers of Ukraine,  approved by the Resolution of the Cabinet of Ministers of Ukraine No. 971 of 21 October 2020, specifies  that the aforementioned electronic (scanned) copies of documents shall be submitted through the "Single Window" web portal. </t>
  </si>
  <si>
    <t>Food safety (SPS); Animal health (SPS); Plant protection (SPS); Protect humans from animal/plant pest or disease (SPS)</t>
  </si>
  <si>
    <t>Human health; Animal health; Plant health; Food safety; Animal diseases</t>
  </si>
  <si>
    <d:r xmlns:d="http://schemas.openxmlformats.org/spreadsheetml/2006/main">
      <d:rPr>
        <d:sz val="11"/>
        <d:rFont val="Calibri"/>
      </d:rPr>
      <d:t xml:space="preserve">https://members.wto.org/crnattachments/2024/SPS/UKR/24_07933_00_e.pdf
https://members.wto.org/crnattachments/2024/SPS/UKR/24_07933_00_x.pdf
https://zakon.rada.gov.ua/laws/show/1301-2024-%D0%BF#Text</d:t>
    </d:r>
  </si>
  <si>
    <t>Draft resolution 1245, 20 March 2024</t>
  </si>
  <si>
    <t>Draft resolution 1245, 20 March 2024 - previously notified through G/TBT/N/BRA/1528 - which contains provisions on the validation of bioanalytical methods and analysis of study samples for regulatory submissions of industrialized medicines for human use, was adopted as Resolution 641, 18 November 2024. The final text is available only in Portuguese and can be downloaded at: https://antigo.anvisa.gov.br/documents/10181/3855414/RDC_941_2024_.pdf/fd356c37-661b-4c84-8f20-8e582b4e2f3f</t>
  </si>
  <si>
    <t>Medicaments consisting of two or more constituents mixed together for therapeutic or prophylactic uses, not in measured doses or put up for retail sale (excl. goods of heading 3002, 3005 or 3006) (HS code(s): 3003); Medicaments consisting of mixed or unmixed products for therapeutic or prophylactic uses, put up in measured doses "incl. those for transdermal administration" or in forms or packings for retail sale (excl. goods of heading 3002, 3005 or 3006) (HS code(s): 3004); Medicaments (ICS code(s): 11.120.10)</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</si>
  <si>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 3003 - Medicaments consisting of two or more constituents mixed together for therapeutic or prophylactic uses, not in measured doses or put up for retail sale (excl. goods of heading 3002, 3005 or 3006)</t>
  </si>
  <si>
    <t>11.120.10 - Medicaments; 11.120.10 - Medicaments</t>
  </si>
  <si>
    <d:r xmlns:d="http://schemas.openxmlformats.org/spreadsheetml/2006/main">
      <d:rPr>
        <d:sz val="11"/>
        <d:rFont val="Calibri"/>
      </d:rPr>
      <d:t xml:space="preserve">https://antigo.anvisa.gov.br/documents/10181/3855414/RDC_941_2024_.pdf/fd356c37-661b-4c84-8f20-8e582b4e2f3f</d:t>
    </d:r>
  </si>
  <si>
    <t>Notification of the National Broadcasting and Telecommunications Commission: Technical Standard for Digital Radio Transmitter (NBTC TS 3003-2567 (2024))</t>
  </si>
  <si>
    <t>The standard specifies the minimum technical requirements for digital radio transmitter. It includes:(1) Transmitter Standard(2) Electrical Safety Requirements(3) Radiation Exposure Requirements(4) Technical Conformity</t>
  </si>
  <si>
    <t>Digital radio transmitter</t>
  </si>
  <si>
    <d:r xmlns:d="http://schemas.openxmlformats.org/spreadsheetml/2006/main">
      <d:rPr>
        <d:sz val="11"/>
        <d:rFont val="Calibri"/>
      </d:rPr>
      <d:t xml:space="preserve">https://members.wto.org/crnattachments/2024/TBT/THA/final_measure/24_07926_00_x.pdf</d:t>
    </d:r>
  </si>
  <si>
    <t>The Notification of the Alcoholic Beverages Control, Re: Rules, Procedure and condition on Packaging including warning messages of Alcoholic Beverages produced or imported, B.E. 2567 (2024)</t>
  </si>
  <si>
    <t>Description: the Draft Notification of the Alcoholic Beverages Control, Re: Rules, Procedure and condition, on Packaging including warning statement of Alcoholic Beverages produced or imported, issued under B.E. ……, previously notified in G/TBT/N/THA/747 dated 24 July 2024 was published in the Royal Gazette dated 8 November 2024Date of entry into force: This notification shall come into force after the day following date of its publication in the Royal Gazette. (9 November 2024)Thailand TBT Enquiry Point for Agricultural Commodity and FoodNational Bureau of Agricultural Commodity and Food Standards (ACFS)50 Phaholyothin Road, LadyaoChatuchak, Bangkok 10900ThailandTel: +(662) 561 4204Fax: +(662) 561 4034E-mail: spsthailand@acfs.go.thspsthailand@gmail.comWebsites: http://www.acfs.go.thhttps://spsthailand.acfs.go.th/th/main</t>
  </si>
  <si>
    <t>Alcohol Beverages (ICS:  67.160.10) (HS 2203, 2204, 2205, 2206, 2207, 2208).</t>
  </si>
  <si>
    <t>2204 - Wine of fresh grapes, incl. fortified wines; grape must, partly fermented and of an actual alcoholic strength of &gt; 0,5% vol or grape must with added alcohol of an actual alcoholic strength of &gt; 0,5% vol; 2203 - Beer made from malt.; 2205 - Vermouth and other wine of fresh grapes, flavoured with plants or aromatic substances; 2206 - Other fermented beverages (for example, cider, perry, mead, saké); mixtures of fermented beverages and mixtures of fermented beverages and non-alcoholic beverages, not elsewhere specified or included.; 2207 - Undenatured ethyl alcohol of an alcoholic strength of &gt;= 80%; ethyl alcohol and other spirits, denatured, of any strength; 2208 - Undenatured ethyl alcohol of an alcoholic strength of &lt; 80%; spirits, liqueurs and other spirituous beverages (excl. compound alcoholic preparations of a kind used for the manufacture of beverages); 2203 - Beer made from malt.; 2204 - Wine of fresh grapes, incl. fortified wines; grape must, partly fermented and of an actual alcoholic strength of &gt; 0,5% vol or grape must with added alcohol of an actual alcoholic strength of &gt; 0,5% vol; 2205 - Vermouth and other wine of fresh grapes, flavoured with plants or aromatic substances; 2206 - Other fermented beverages (for example, cider, perry, mead, saké); mixtures of fermented beverages and mixtures of fermented beverages and non-alcoholic beverages, not elsewhere specified or included.; 2207 - Undenatured ethyl alcohol of an alcoholic strength of &gt;= 80%; ethyl alcohol and other spirits, denatured, of any strength; 2208 - Undenatured ethyl alcohol of an alcoholic strength of &lt; 80%; spirits, liqueurs and other spirituous beverages (excl. compound alcoholic preparations of a kind used for the manufacture of beverages)</t>
  </si>
  <si>
    <t>Food standards; Labelling; Labelling; Food standards</t>
  </si>
  <si>
    <d:r xmlns:d="http://schemas.openxmlformats.org/spreadsheetml/2006/main">
      <d:rPr>
        <d:sz val="11"/>
        <d:rFont val="Calibri"/>
      </d:rPr>
      <d:t xml:space="preserve">https://members.wto.org/crnattachments/2024/TBT/THA/final_measure/24_07928_00_x.pdf</d:t>
    </d:r>
  </si>
  <si>
    <t>DARS 2160, Fufu flour — Specification</t>
  </si>
  <si>
    <t>This Draft African Standard specifies the requirements, sampling and test methods for cassava, plantain, cocoyam and yam fufu flours produced from fresh, matured and sound edible cassava (Manihot esculenta Crantz), plantain (Musa paradisiaca AAB), cocoyam (Xanthosoma species) and yam (Dioscorea species) respectively. It is intended to be used for the preparation of fufu.</t>
  </si>
  <si>
    <t>Edible vegetables and certain roots and tubers (HS code(s): 07); Cereals, pulses and derived products (ICS code(s): 67.060)</t>
  </si>
  <si>
    <t>67.060 - Cereals, pulses and derived products</t>
  </si>
  <si>
    <d:r xmlns:d="http://schemas.openxmlformats.org/spreadsheetml/2006/main">
      <d:rPr>
        <d:sz val="11"/>
        <d:rFont val="Calibri"/>
      </d:rPr>
      <d:t xml:space="preserve">https://members.wto.org/crnattachments/2024/SPS/KEN/24_07714_00_e.pdf</d:t>
    </d:r>
  </si>
  <si>
    <t>67.220 - Spices and condiments. Food additives</t>
  </si>
  <si>
    <d:r xmlns:d="http://schemas.openxmlformats.org/spreadsheetml/2006/main">
      <d:rPr>
        <d:sz val="11"/>
        <d:rFont val="Calibri"/>
      </d:rPr>
      <d:t xml:space="preserve">https://members.wto.org/crnattachments/2024/TBT/TUR/24_07936_00_x.pdf
https://members.wto.org/crnattachments/2024/TBT/TUR/24_07936_01_x.pdf</d:t>
    </d:r>
  </si>
  <si>
    <t>Mandatory Toy Safety Standards: Requirements for Neck Floats</t>
  </si>
  <si>
    <t>Notice of proposed rulemaking - The Consumer Product Safety Improvement Act of 2008 (CPSIA) mandates that ASTM F963 shall be a mandatory toy safety standard. This toy safety standard sets forth only minimal labeling requirements for aquatic toys such as neck floats. The U.S. Consumer Product Safety Commission (CPSC or Commission) proposes to establish new performance and revised labeling requirements to address potentially deadly hazards associated with neck floats. The Commission also proposes to amend CPSC's list of notice of requirements (NORs) to include neck floats.Section V of the NPR preamble summarizes the provisions of ANSI/CAN/UL 12402-9, ANSI APSP ICC-16, ASTM F833-21, ASTM F1967-19 and ANSI/NEMA Z535.4-2023 that the Commission proposes to incorporate by reference into proposed (16 CFR) § 1250.5. The standards are reasonably available to interested parties by permission of the relevant standards developing organization (SDO) to be viewed as a read-only document during the comment period, at:https://www.surveymonkey.com/​r/​DQVJYMKforANSI/​CAN/​UL 12402-9, https://codes.iccsafe.org/​content/​ANSIAPSPICC162017/​title-page for ANSI APSP ICC-16, https://www.surveymonkey.com/​r/​DQVJYMKforANSI/​NEMA Z535.4-2023, https://www.astm.org/​products-services/​reading-room.html for ASTM F833-21, and https://www.astm.org/​products-services/​reading-room.html for ASTM F1967-19</t>
  </si>
  <si>
    <t>Neck floats; aquatic toys; Quality (ICS code(s): 03.120); Domestic safety (ICS code(s): 13.120); Equipment for children (ICS code(s): 97.190)</t>
  </si>
  <si>
    <t>03.120 - Quality; 13.120 - Domestic safety; 97.190 - Equipment for children</t>
  </si>
  <si>
    <d:r xmlns:d="http://schemas.openxmlformats.org/spreadsheetml/2006/main">
      <d:rPr>
        <d:sz val="11"/>
        <d:rFont val="Calibri"/>
      </d:rPr>
      <d:t xml:space="preserve">https://members.wto.org/crnattachments/2024/TBT/USA/24_07897_00_e.pdf</d:t>
    </d:r>
  </si>
  <si>
    <t>Establece requisitos fitosanitarios de importación para el ingreso de semillas de maíz (Zea mays L.) procedentes de todo origen y modifica Resolución Exenta No 1.187 de 2022 (Phytosanitary requirements for the importation into Chile of maize (Zea mays L.) seeds, of any origin, and amendment of Exempt Resolution No. 1.187 of 2022) At the request of third countries, the final date for comments on notification G/SPS/N/CHL/808 has been extended to 21 January 2025.</t>
  </si>
  <si>
    <t>Maize (Zea mays L.) seeds</t>
  </si>
  <si>
    <t>100510 - Maize seed for sowing; 100510 - Maize seed for sowing</t>
  </si>
  <si>
    <t>Modification of final date for comments; Plant health; Pests; Pests; Plant health</t>
  </si>
  <si>
    <t>Safety Standard for Soft Infant and Toddler Carriers</t>
  </si>
  <si>
    <t xml:space="preserve">In March 2014, the U.S. Consumer Product Safety Commission (CPSC or Commission) published a safety standard for soft infant and toddler carriers under section 104 of the Consumer Product Safety Improvement Act of 2008 (CPSIA). The standard incorporated by reference ASTM F2236-14, Standard Consumer Safety Specification for Soft Infant and Toddler Carriers, the voluntary standard for soft infant and toddler carriers that was in effect at the time. ASTM has now issued a revised standard, ASTM F2236-24. Consistent with the CPSIA, this direct final rule updates the mandatory standard to incorporate by reference ASTM's 2024 version of the voluntary standard.The rule is effective on 22 February 2025, unless CPSC receives a significant adverse comment by 20 December 2024. If CPSC receives such a comment, it will publish a document in the Federal Register, withdrawing this direct final rule before its effective date. The incorporation by reference of the publication listed in this rule is approved by the Director of the Federal Register as of 22 February 2025.89 Federal Register (FR) 91545, 20 November 2024; Title 16 Code of Federal Regulations (CFR) Part 1226_x000D_
https://www.govinfo.gov/content/pkg/FR-2024-11-20/html/2024-27042.htm_x000D_
https://www.govinfo.gov/content/pkg/FR-2024-11-20/pdf/2024-27042.pdfThis direct final rule and previous actions notified under the symbol G/TBT/N/USA/810 are identified by Docket Number CPSC-2013-0014. The Docket Folder is available on Regulations.gov at https://www.regulations.gov/docket/CPSC-2013-0014/document and provides access to primary and supporting documents as well as comments received. Documents are also accessible from Regulations.gov by searching the Docket Number. Comments received by the USA TBT Enquiry Point from WTO Members and their stakeholders by 4pmEastern Time on 20 December 2024 will be shared with CPSC and will also be submitted to the Docket on Regulations.gov if received within the comment period.</t>
  </si>
  <si>
    <t xml:space="preserve">Soft infant and toddler carriers  (HS 9404; ICS 97.190)</t>
  </si>
  <si>
    <t>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 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t>
  </si>
  <si>
    <d:r xmlns:d="http://schemas.openxmlformats.org/spreadsheetml/2006/main">
      <d:rPr>
        <d:sz val="11"/>
        <d:rFont val="Calibri"/>
      </d:rPr>
      <d:t xml:space="preserve">https://members.wto.org/crnattachments/2024/TBT/USA/final_measure/24_07898_00_e.pdf</d:t>
    </d:r>
  </si>
  <si>
    <t xml:space="preserve">Risk Management Under the Toxic Substances Control Act: Certain 
Per- and Polyfluoroalkyl Substances; Extension of Comment Period</t>
  </si>
  <si>
    <t xml:space="preserve">The Environmental Protection Agency (EPA) is extending the comment period for the notice that published in the Federal Register on 30 September 2024 (notified as G/TBT/N/USA/2152), seeking public comment on the manufacture of certain per- and polyfluoroalkyl substances (PFAS), including perfluorooctanoic acid (PFOA), perfluorononanoic acid (PFNA), and perfluorodecanoic acid (PFDA), during the fluorination of high-density polyethylene (HDPE) and other plastic containers to inform regulations as appropriate under the Toxic Substances Control Act (TSCA). That notice established a public comment period that is scheduled to end on 29 November 2024. This document extends that comment period for 31 days to 30 December 2024. EPA received a request to extend the comment period from an interested stakeholder who requested additional time to collect information relating to EPA's notice and develop thoughtful responses to the issues raised in EPA's notice. EPA believes it is appropriate to extend the comment period in order to give stakeholders including the requester additional time to identify and gather information related to the issues identified in EPA's notice and to prepare comprehensive comments.The comment period for the document published on 30 September 2024, at 89 FR 79581 (FRL-12261-01-OCSPP), is now extended. Comments must be received on or before 30 December 2024.89 Federal Register (FR) 91739, 20 November 2024:_x000D_
https://www.govinfo.gov/content/pkg/FR-2024-11-20/html/2024-27111.htm_x000D_
https://www.govinfo.gov/content/pkg/FR-2024-11-20/pdf/2024-27111.pdfThis extension of comment period and the notice notified as G/TBT/N/USA/2152 are identified by Docket Number EPA-HQ-OPPT-2024-0131. The Docket Folder is available on Regulations.gov at https://www.regulations.gov/docket/EPA-HQ-OPPT-2024-0131/document and provides access to primary and supporting documents and materials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30  December 2024 will be shared with the EPA and will also be submitted to the Docket on Regulations.gov if received within the comment period.</t>
  </si>
  <si>
    <t xml:space="preserve">Per- and polyfluoroalkyl 
substances (PFAS), including perfluorooctanoic acid (PFOA), 
perfluorononanoic acid (PFNA), and perfluorodecanoic acid (PFDA), 
during the fluorination of high-density polyethylene (HDPE) and other 
plastic containers; Environmental protection (ICS code(s): 13.020); Production in the chemical industry (ICS code(s): 71.020); Products of the chemical industry (ICS code(s): 71.100)</t>
  </si>
  <si>
    <t>Ministerial Order to Provide Technical Standards about facilities for exploratory drilling sites for CO2 storage</t>
  </si>
  <si>
    <t>The Act on Carbon Dioxide Storage Business stipulates that storage business operators maintain CO2 storage facilities to ensure that they conform to the technical standards established by Order of the Ministry of Economy, Trade and Industry.We enacted a Ministerial Order to Provide Technical Standards for CO2 storage facilities based on  the Act on Carbon Dioxide Storage Business to maintain public safety and prevent the occurrence of accidents, similar to the standards mandated by the Mine Safety Act.</t>
  </si>
  <si>
    <t>・Drilling machine・Storage facility of gunpowder</t>
  </si>
  <si>
    <t>843049 - Boring or sinking machinery for boring earth or extracting minerals or ores, not self-propelled and not hydraulic (excl. tunnelling machinery and hand-operated tools); 843143 - Parts for boring or sinking machinery of subheading 8430.41 or 8430.49, n.e.s.; 843143 - Parts for boring or sinking machinery of subheading 8430.41 or 8430.49, n.e.s.; 843049 - Boring or sinking machinery for boring earth or extracting minerals or ores, not self-propelled and not hydraulic (excl. tunnelling machinery and hand-operated tools)</t>
  </si>
  <si>
    <t>25.080.40 - Drilling machines; 25.080.40 - Drilling machines; 73.100.30 - Equipment for drilling and mine excavation; 73.100.30 - Equipment for drilling and mine excavation</t>
  </si>
  <si>
    <d:r xmlns:d="http://schemas.openxmlformats.org/spreadsheetml/2006/main">
      <d:rPr>
        <d:sz val="11"/>
        <d:rFont val="Calibri"/>
      </d:rPr>
      <d:t xml:space="preserve">https://www.meti.go.jp/policy/safety_security/industrial_safety/sangyo/ccs/index.html</d:t>
    </d:r>
  </si>
  <si>
    <t>Resolución para regular la importación de esquejes enraizados de café (Coffea arabica) para propagación originarios de Panamá (Resolution governing the importation of rooted coffee (Coffea arabica) cuttings for propagation from Panama. Costa Rica hereby advises that the phytosanitary measures notified in document G/SPS/N/CRI/284 have been adopted under Resolution No. 073-CV-ARP-SFE of the State Phytosanitary Service, Standards and Regulations Department, Pest Risk Analysis Unit, establishing phytosanitary requirements for the importation of rooted coffee (Coffea arabica) cuttings for propagation originating in Panama. The draft Resolution was circulated on 20 September 2024. The date of entry into force will be six months after signature of the final Resolution. https://members.wto.org/crnattachments/2024/SPS/CRI/24_07892_00_s.pdf</t>
  </si>
  <si>
    <t>Rooted coffee (Coffea arabica) cuttings for propagation (HS code: 0602)</t>
  </si>
  <si>
    <d:r xmlns:d="http://schemas.openxmlformats.org/spreadsheetml/2006/main">
      <d:rPr>
        <d:sz val="11"/>
        <d:rFont val="Calibri"/>
      </d:rPr>
      <d:t xml:space="preserve">https://members.wto.org/crnattachments/2024/SPS/CRI/24_07892_00_s.pdf</d:t>
    </d:r>
  </si>
  <si>
    <t>Arrêté du ministre de l'industrie et du commerce relatif à la sécurité des appareils et équipements à gaz (Order of the Minister of Industry and Trade on the safety of gas appliances and equipment)</t>
  </si>
  <si>
    <t>The notified Order establishes mandatory requirements and conditions for making gas appliances and equipment available on the market. It sets out the requirement to complete a Cم declaration of conformity based on the form annexed to the Order, supply technical documentation and affix the conformity marking. It also sets out the requirement to keep a technical file, undertake a conformity assessment by an approved body and include the necessary usage instructions for consumers to ensure safe use.</t>
  </si>
  <si>
    <t>Gas appliances and equipment</t>
  </si>
  <si>
    <d:r xmlns:d="http://schemas.openxmlformats.org/spreadsheetml/2006/main">
      <d:rPr>
        <d:sz val="11"/>
        <d:rFont val="Calibri"/>
      </d:rPr>
      <d:t xml:space="preserve">https://www.mcinet.gov.ma/fr/content/qualite-et-surveillance-des-marches/surveillance-du-march%C3%A9</d:t>
    </d:r>
  </si>
  <si>
    <t>Draft Resolution of the Cabinet of Ministers of Ukraine “On Amendments to the Resolution of the Cabinet of Ministers of Ukraine No. 1030 of 26 September 2023” </t>
  </si>
  <si>
    <t>the Resolution of the Cabinet of Ministers of Ukraine No. 1030 of 26 September 2023 "Some Issues of Application of the Technical Regulation on Ecodesign Requirements for Small, Medium and Large Power Transformers during the Martial Law in Ukraine" stipulates that for the period of the martial law in Ukraine and one year from the date of its termination or cancellation, but not longer than until 01 January 2025, Level 2 of ecodesign requirements for transformers set out in Annex 1 to the Technical Regulation, do not apply to power transformers with a rated capacity of no more than 125 MVA, as well as to power transformers in respect of which agreements (contracts) for the production and/or supply were concluded before 13 September 2019, if the terms of such agreements determine the number of power transformers to be produced and/or supplied. The Resolution also stipulates that such transformers, which are or were put into operation during the martial law in Ukraine and within one year from the date of its termination or cancellation, but not later than 1 January 2025, are not subject to state market surveillance. The draft Resolution "On Amendments to the Resolution of the Cabinet of Ministers of Ukraine No. 1030 of 26 September 2023" has been developed to extend the validity of the Resolution of the Cabinet of Ministers of Ukraine No. 1030 without determining a specific date, and provides for the exclusion of the words and figures “but not longer/later than 01 January 2025,” from its paragraph one of Clause 1 and Clause 2. </t>
  </si>
  <si>
    <t>Small, medium and large power transformers</t>
  </si>
  <si>
    <t>29.180 - Transformers. Reactors</t>
  </si>
  <si>
    <d:r xmlns:d="http://schemas.openxmlformats.org/spreadsheetml/2006/main">
      <d:rPr>
        <d:sz val="11"/>
        <d:rFont val="Calibri"/>
      </d:rPr>
      <d:t xml:space="preserve">https://members.wto.org/crnattachments/2024/TBT/UKR/24_07910_00_e.pdf
https://members.wto.org/crnattachments/2024/TBT/UKR/24_07910_00_x.pdf
https://saee.gov.ua/uk/activity/rehulyatorna-diyalnist 
(files on the draft Resolution of the Cabinet of Ministers of Ukraine “On Amendments to the Resolution of the Cabinet of Ministers of Ukraine No. 1030 of 26 September 2023” as of 11 November 2024)</d:t>
    </d:r>
  </si>
  <si>
    <t>Pr. PAC-DEI-03 -Conformity Assessment Procedure for Imported Products of Compulsory Control at Customs Clearance</t>
  </si>
  <si>
    <t>The purpose of this procedure is to establish the flowchart and other rules to be observed by those involved in the customs clearance process inherent to imported products whose conformity assessment is of a mandatory control nature and applies to the entities and personnel involved in the process of importing products subject to the Conformity Assessment Programme under the terms of Decree no. 8/2022, 14 March, which approves the Standardizations and Conformity Assessment Regulations.</t>
  </si>
  <si>
    <t>The HS is listed in Annex II to the Regulation from Decree 8/2022, July 14th</t>
  </si>
  <si>
    <d:r xmlns:d="http://schemas.openxmlformats.org/spreadsheetml/2006/main">
      <d:rPr>
        <d:sz val="11"/>
        <d:rFont val="Calibri"/>
      </d:rPr>
      <d:t xml:space="preserve">https://members.wto.org/crnattachments/2024/TBT/MOZ/24_07905_00_x.pdf</d:t>
    </d:r>
  </si>
  <si>
    <t>Draft Commission Implementing Decision not approving ethylene oxide as an existing active substance for use in biocidal products of product-type 2 in accordance with Regulation (EU) No 528/2012 of the European Parliament and of the Council</t>
  </si>
  <si>
    <t>This draft Commission Implementing Decision does not approve ethylene oxide as an existing active substance for use in biocidal products of product-type 2.The Commission services concluded that none of the uses of ethylene oxide that the applicant included in the application for approval under the Regulation (EU) No 528/2012 (the BPR), or mentioned as further intended uses in their communication with the Commission, are covered by the scope of the BPR, but instead fall within the scope of the Union legislation on medicinal products or on medical devices.</t>
  </si>
  <si>
    <t>291010 - Oxirane "ethylene oxide"</t>
  </si>
  <si>
    <t>Protection of human health or safety (TBT); Protection of the environment (TBT); Harmonization (TBT)</t>
  </si>
  <si>
    <d:r xmlns:d="http://schemas.openxmlformats.org/spreadsheetml/2006/main">
      <d:rPr>
        <d:sz val="11"/>
        <d:rFont val="Calibri"/>
      </d:rPr>
      <d:t xml:space="preserve">https://members.wto.org/crnattachments/2024/TBT/EEC/24_07908_00_e.pdf
The text is available on the EU-TBT Website :  http://ec.europa.eu/growth/tools-databases/tbt/</d:t>
    </d:r>
  </si>
  <si>
    <t>Changes to the Units of Measurement for the Net Quantity Declaration of Certain Foods for fresh fruits or vegetables packaged in non-retail containers  </t>
  </si>
  <si>
    <t>Only certain fresh fruits or vegetables packaged in non-retail containers can use numerical count for the net quantity declaration. Units of measurement for certain foods are prescribed in an incorporated by reference (IbR) document titled “Units of Measurement for the Net Quantity Declaration of Certain Foods”, incorporated into the Safe Food for Canadians Regulations (SFCR). CFIA consulted on proposed changes to allow for the use of numerical count for the net quantity declaration on non-retail containers (such as crates, cases, master cartons, and shipping containers) of fresh fruits or vegetables.Following the WTO notification G/TBT/N/CAN/724 with final date for comments ending on June 27, 2024, the proposed amendment to the document incorporated by reference titled “Units of Measurement for the Net Quantity Declaration of Certain Foods”, was adopted. It will be published and this additional flexibility will be available to use on November 13, 2024. Changes were made to the allow for the use of numerical count for the net quantity declaration on non-retail containers (such as crates, cases, master cartons, and shipping containers) of fresh fruits or vegetables.This change should not result in the need to make changes to food labels. In addition, this will not affect the level of inspection, what is inspected or how food labels are inspected.</t>
  </si>
  <si>
    <t>Prepackaged fruits or vegetables packaged in non-retail containers </t>
  </si>
  <si>
    <t>67.080 - Fruits. Vegetables; 67.080 - Fruits. Vegetables; 67.230 - Prepackaged and prepared foods; 67.230 - Prepackaged and prepared foods</t>
  </si>
  <si>
    <t>“Proposed group standard for treated seed: Consultation document”</t>
  </si>
  <si>
    <t>On 11 July 2024, the EPA opened public consultation on a proposed group standard for regulating treated seed. Since that date, we have had feedback from some advisory group members suggesting that submitters may need more time to understand and respond to the proposal. These members have also indicated they may have further information relevant to the proposal that the EPA may not have considered. We want to ensure that we arrive at the best possible approach to regulating treated seed in New Zealand. With that in mind, we have agreed to extend the submission period until 31 March 2025The EPA wishes to understand if and where there might be room to improve the proposal so encourages participation in the consultation process. We are looking to host workshops in the new year to discuss the proposal and submission process with stakeholders who may wish to make a submission. Details of these engagements will also be published on the EPA’s consultation webpage: Proposed group standard for treated seed | EPA</t>
  </si>
  <si>
    <t>Imported or locally manufactured seed that has been coated and/or encapsulated with a surface applied technology for the purpose of preventing pest incursion or damage.</t>
  </si>
  <si>
    <d:r xmlns:d="http://schemas.openxmlformats.org/spreadsheetml/2006/main">
      <d:rPr>
        <d:sz val="11"/>
        <d:rFont val="Calibri"/>
      </d:rPr>
      <d:t xml:space="preserve">https://www.epa.govt.nz/public-consultations/open-consultations/proposed-group-standard-for-treated-seed/
https://www.epa.govt.nz/public-consultations/open-consultations/proposed-group-standard-for-treated-seed/
</d:t>
    </d:r>
  </si>
  <si>
    <t>The draft Circular guiding the registration of finished medical products and medicinal ingredients</t>
  </si>
  <si>
    <t>1. This draft Circular specifies:a) Documentation requirements, procedures for the issuance, renewal, revision and revocation of marketing authorization for modern medicines, vaccines, biologicals, herbal drugs and medicinal materials (including active ingredients, semi-finished herbal ingredients, excipients, and capsule shells) for human use in Vietnam;b) Required clinical data to ensure safety and efficacy in the application;c) Requirements for exemption from clinical trial or certain phases thereof in Vietnam; drugs to be subjected to Stage 4 clinical trial;d) Rules for the validation of marketing authorization applications (hereinafter referred to as "marketing application") for drugs/medicinal materials, their renewal and revision;dd) Rules for the validation of applications for license to import drugs that are yet to beapproved for marketing authorization (hereinafter referred to as "unapproved drugs") in the cases specified in Point a Clause 43 Article 5 of Decree No. 155/2018/ND-CP dated November 12, 2018 providing amendments to regulations on business conditions under state management of the Ministry of Health of Vietnam (hereinafter referred to as"Decree No. 155/2018/ND-CP");e) Organizing and operating principles of the Advisory Council for issuance of marketing authorization of drugs and pharmaceutical ingredients (hereinafter referred to as the Council);g) Procedures for the assessment of applications for the granting, extension, variation of marketing authorizations for finished medical products and medicinal ingredients; procedures for the assessment of applications for import licenses of drugs without marketing authorization.h) Dossier and procedures for granting certificates of circulation of drugs in the form of reference and recognition;i) Regulations on drugs that must undergo bioequivalence testing and requirements for dossiers reporting bioequivalence research data in drug circulation registration in Vietnam.2. This draft Circular does not apply to the cases specified in Point a, b, Clause 2, Article 54 of the Law on Pharmacy, excipients, capsule shells, and semi-finished medicinal products for the manufacture of drugs according to drug registration dossiers that have a Certificate of Drug Circulation Registration in Vietnam; capsule shells, excipients used for testing, research or manufacturing of exported drugs and semi-finished medicinal products produced by the manufacturing facility itself for the manufacture of finished drugs, except in cases where the registration facility voluntarily request it.</t>
  </si>
  <si>
    <t>Medicinal finished products and medicinal ingredients</t>
  </si>
  <si>
    <t>Harmonization (TBT)</t>
  </si>
  <si>
    <d:r xmlns:d="http://schemas.openxmlformats.org/spreadsheetml/2006/main">
      <d:rPr>
        <d:sz val="11"/>
        <d:rFont val="Calibri"/>
      </d:rPr>
      <d:t xml:space="preserve">https://members.wto.org/crnattachments/2024/TBT/VNM/24_07902_00_x.pdf</d:t>
    </d:r>
  </si>
  <si>
    <t>Switzerland</t>
  </si>
  <si>
    <t>Amendment to the Ordinance on In Vitro Diagnostic Medical Devices</t>
  </si>
  <si>
    <t>Content of changed notified measures are summarized as follows: In order to improve the safety and quality of medical devices, Switzerland adapted its legislation on medical devices in line with developments in EU law (Medical Devices Regulation, MDR and In vitro Diagnostic Medical Devices Regulation, IVDR). The new legislations in Switzerland are applicable since May 2021 for medical devices (MedDO) and May 2022 for in vitro diagnostic medical devices (IvDO) like in the EU.Transitional measures were notified to the WTO (G/TBT/N/CHE/258/add.1). Additional flexibilities for labeling requirements to IVD products that are not intended to be self-diagnosis are currently a temporary rule. The proposal foresees to adopt these flexibilities for labeling requirements as a permanent rule. In addition, on 13 June 2024, Regulation (EU) 2024/1860 amending the EU-MDR and the EU-IVDR entered into force in the EU and provides in particular for an extension of the transitional periods in the EU provided for in the IVDR and a gradual roll-out of Eudamed. The extended transitional periods in the IVDR as well as the applicable conditions for their extensions are transposed into the corresponding Swiss legislation to maintain the equivalence with the European regulation as regards the transitional periods. The registration of Unique Device Identification (UDI) number with the Swiss authorities will become mandatory by July 1st 2026.</t>
  </si>
  <si>
    <t>In vitro diagnostic medical devices</t>
  </si>
  <si>
    <t>11.100.10 - In vitro diagnostic test systems; 11.100.10 - In vitro diagnostic test systems</t>
  </si>
  <si>
    <t>Protection of human health or safety (TBT); Harmonization (TBT)</t>
  </si>
  <si>
    <d:r xmlns:d="http://schemas.openxmlformats.org/spreadsheetml/2006/main">
      <d:rPr>
        <d:sz val="11"/>
        <d:rFont val="Calibri"/>
      </d:rPr>
      <d:t xml:space="preserve">https://members.wto.org/crnattachments/2024/TBT/CHE/modification/24_07904_00_f.pdf
https://members.wto.org/crnattachments/2024/TBT/CHE/modification/24_07904_01_f.pdf
</d:t>
    </d:r>
  </si>
  <si>
    <t>Arrêté du ministre de l'industrie et du commerce rendant d'application obligatoire la norme marocaine NM 01.4.080, relative au fil machine en acier et définissant la procédure d'évaluation de la conformité (Order of the Minister of Industry and Trade providing for the mandatory application of Moroccan standard NM 01.4.080 on steel wire rod and establishing the conformity assessment procedure)</t>
  </si>
  <si>
    <t>The notified Order will ensure better control over the quality and safety of steel wire rod by improving the monitoring of its properties, and enhance consumer protection by ensuring the safety of products available on the market.</t>
  </si>
  <si>
    <t>Steel wire rod</t>
  </si>
  <si>
    <t>7213 - Bars and rods of iron or non-alloy steel, hot-rolled, in irregularly wound coils</t>
  </si>
  <si>
    <t>77.140.65 - Steel wire, wire ropes and link chains</t>
  </si>
  <si>
    <t>Resolución para regular la importación de semillas de Repollo Chino (Brassica rapa var. pekinensis) para siembra originarias de Dinamarca (Resolution governing the importation of Chinese cabbage (Brassica rapa var. pekinensis) seeds for sowing from Denmark) Costa Rica hereby advises that the phytosanitary measures notified in document G/SPS/N/CRI/285 have been adopted under Resolution No. 074-CV-ARP-SFE of the State Phytosanitary Service, Standards and Regulations Department, Pest Risk Analysis Unit, establishing phytosanitary requirements for the importation of Chinese cabbage (Brassica rapa var. pekinensis) seeds for sowing originating in Denmark. The draft Resolution was circulated on 20 September 2024. The date of entry into force will be six months after signature of the final Resolution. https://members.wto.org/crnattachments/2024/SPS/CRI/24_07894_00_s.pdf</t>
  </si>
  <si>
    <t>Chinese cabbage (Brassica rapa var. pekinensis) seeds (HS code: 120991)</t>
  </si>
  <si>
    <t>Plant health; Pests; Territory protection; Pest- or Disease- free Regions / Regionalization; Adoption/publication/entry into force of reg.; Pests; Pest- or Disease- free Regions / Regionalization; Territory protection; Plant health</t>
  </si>
  <si>
    <d:r xmlns:d="http://schemas.openxmlformats.org/spreadsheetml/2006/main">
      <d:rPr>
        <d:sz val="11"/>
        <d:rFont val="Calibri"/>
      </d:rPr>
      <d:t xml:space="preserve">https://members.wto.org/crnattachments/2024/SPS/CRI/24_07894_00_s.pdf</d:t>
    </d:r>
  </si>
  <si>
    <t xml:space="preserve">In this document, the Federal Communications Commission (Commission) takes another major step towards ensuring that the 4940- 4990 MHz band (4.9 GHz band) is efficiently and intensely utilized in support of public safety missions nationwide. To that end, the Commission bolsters the coordinated nationwide approach to the band that it established in its Seventh Report and Order, FCC 23-3, in which it adopted a nationwide Band Manager framework to coordinate operations in the 4.9 GHz band, optimize public safety use, and facilitate the integration of the latest commercially available technologies, including 5G, for the benefit of public safety users. To further these goals--and ensure that the 4.9 GHz band is put to more robust use nationwide in the near term--the 4.9 GHz Band Manager, once selected, will be eligible to apply for a nationwide overlay license and authorized to enter into a sharing agreement with the First Responder Network Authority (FirstNet). Pursuant to this sharing agreement, FirstNet may be permitted to use unassigned spectrum in the 4.9 GHz band as part of its nationwide public safety broadband network (NPSBN) in a manner that protects incumbent operations. In addition to expanding the Band Manager's responsibilities to include entering into a sharing agreement with FirstNet and establishing rules governing the nationwide Band Manager overlay license, the Commission also reaffirms its commitment to the nationwide Band Manager framework and clarifies the Band Manager's responsibilities to address the new rules we adopt herein.Effective 20 December  2024.89 Federal Register (FR) 91578, 20 November 2024; Title 47 Code of Federal Regulations (CFR) Parts 0 and 90_x000D_
https://www.govinfo.gov/content/pkg/FR-2024-11-20/html/2024-26794.htm_x000D_
https://www.govinfo.gov/content/pkg/FR-2024-11-20/pdf/2024-26794.pdfhttps://docs.fcc.gov/public/attachments/FCC-24-114A1.pdfThis final rule is identified by PS Docket No. 07-100 and FCC 24-22 and provides access to associated documents. The full text of the final  rule is available from the Commission's website at https://docs.fcc.gov/public/attachments/FCC-24-114A1.pdf. Documents are also accessible from the FCC's Electronic Document Management System (EDOCS) by searching the Docket Number.  Comments ("filings") posted by the FCC in the Electronic Comment Filing System (ECFS) are accessible at https://www.fcc.gov/ecfs/search/search-filings/results?q=(proceedings.name:(%2207-100*%22))</t>
  </si>
  <si>
    <d:r xmlns:d="http://schemas.openxmlformats.org/spreadsheetml/2006/main">
      <d:rPr>
        <d:sz val="11"/>
        <d:rFont val="Calibri"/>
      </d:rPr>
      <d:t xml:space="preserve">https://members.wto.org/crnattachments/2024/TBT/USA/final_measure/24_07899_00_e.pdf
https://members.wto.org/crnattachments/2024/TBT/USA/final_measure/24_07899_01_e.pdf</d:t>
    </d:r>
  </si>
  <si>
    <t>Federal Motor Vehicle Safety Standards; Pedestrian Head Protection, Global Technical Regulation No. 9; Incorporation by Reference</t>
  </si>
  <si>
    <t xml:space="preserve">The National Highway Traffic Safety Administration (NHTSA) received a request to extend the comment period for the 19 September 2024, Notice of Proposed Rulemaking (NPRM) (notified as G/TBT/N/USA/2149) proposing a new Federal Motor Vehicle Safety Standard (FMVSS) to ensure passenger vehicles are designed to mitigate the risk of serious to fatal injury in pedestrian crashes. The NPRM is based on Global Technical Regulation (GTR) No. 9 on pedestrian safety, with focused enhancements to address safety problems. The comment period for the NPRM was scheduled to end on 18 November 2024. NHTSA is extending the comment period for the NPRM by 30 days.The comment period for the NPRM published on 19 September 2024, at 89 FR 27502, is extended to 18 December 2024.89 Federal Register (FR) 91670, 20 November 2024; Title 49 Code of Federal Regulations (CFR) Part 571_x000D_
https://www.govinfo.gov/content/pkg/FR-2024-11-20/html/2024-26985.htm_x000D_
https://www.govinfo.gov/content/pkg/FR-2024-11-20/pdf/2024-26985.pdfThis extension of comment period and the notice of proposed rulemaking notified as G/TBT/N/USA/2149 are identified by Docket Number NHTSA-2024-0057. The Docket Folder is available on Regulations.gov at https://www.regulations.gov/docket/NHTSA-2024-0057/document and provides access to primary and supporting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18 December 2024 will be shared with NHTSA and will also be submitted to the Docket on Regulations.gov if received within the comment period._x000D_
</t>
  </si>
  <si>
    <t>Performance requirements to minimize the risk of head injury to pedestrians by passenger vehicles with a gross vehicle weight rating (GVWR) of 4,536 kilograms (kg) (10,000 pounds (lb)) or less, pedestrian head protection; Quality (ICS code(s): 03.120); Head protective equipment (ICS code(s): 13.340.20); Crash protection and restraint systems (ICS code(s): 43.040.80)</t>
  </si>
  <si>
    <t>03.120 - Quality; 13.340.20 - Head protective equipment; 43.040.80 - Crash protection and restraint systems; 03.120 - Quality; 13.340.20 - Head protective equipment; 43.040.80 - Crash protection and restraint systems</t>
  </si>
  <si>
    <t>Reglamento sobre la información al consumidor y publicidad de bebidas alcohólicas (Regulations on consumer information and advertising in relation to alcoholic beverages)</t>
  </si>
  <si>
    <t xml:space="preserve">The Ministry of the Interior and Public Security hereby advises that the final paragraph of Article 12 of Decree No. 98/2023 has been amended by Decree No. 186/2024, published on 16 November 2024. __________  1 This information can be provided by including a website address, a PDF attachment, or other information on where the text of the final measure/change to the measure/interpretative guidance can be obtained.</t>
  </si>
  <si>
    <t>Alcoholic beverages</t>
  </si>
  <si>
    <t>Labelling; Food standards; Labelling; Food standards</t>
  </si>
  <si>
    <d:r xmlns:d="http://schemas.openxmlformats.org/spreadsheetml/2006/main">
      <d:rPr>
        <d:sz val="11"/>
        <d:rFont val="Calibri"/>
      </d:rPr>
      <d:t xml:space="preserve">https://members.wto.org/crnattachments/2024/TBT/CHL/modification/24_07883_00_s.pdf
https://www.diariooficial.interior.gob.cl/publicaciones/2024/11/16/44000/01/2571046.pdf
</d:t>
    </d:r>
  </si>
  <si>
    <t>Nicaragua</t>
  </si>
  <si>
    <t>NTON 03004 Calidad de agua. Agua potable. Valores máximos admisibles (Nicaraguan Mandatory Technical Standard (NTON) No. 03004: Water quality. Drinking water. Maximum admissible values) (31 pages, in Spanish)</t>
  </si>
  <si>
    <t>The notified Nicaraguan Mandatory Technical Standard establishes the maximum admissible values of physical, chemical and microbiological parameters for drinking water, as well as risk management assessment criteria from the supply source to the user, in order to prevent the harmful effects of pollution and protect the health of the population. The Standard applies to: • drinking water service providers and users of water in production processes for human consumption, regardless of the source of collection, type of treatment and supply system; • food factories and processing establishments, regardless of the water supply source. Note: Packaged waters, which are regulated by specific regulations, are exempt.</t>
  </si>
  <si>
    <t>Water quality in general (ICS 13.060.01); Drinking water (ICS 13.060.20)</t>
  </si>
  <si>
    <t>13.060.01 - Water quality in general; 13.060.20 - Drinking water</t>
  </si>
  <si>
    <d:r xmlns:d="http://schemas.openxmlformats.org/spreadsheetml/2006/main">
      <d:rPr>
        <d:sz val="11"/>
        <d:rFont val="Calibri"/>
      </d:rPr>
      <d:t xml:space="preserve">https://members.wto.org/crnattachments/2024/TBT/NIC/24_07885_00_s.pdf
www.mific.gob.ni/Inicio/Comercio/Comercio-Interior/SNC/snn/enn/ncp</d:t>
    </d:r>
  </si>
  <si>
    <t>Projet de décret relatif à la qualité et à la sécurité sanitaire des sauces commercialisées (Draft Decree on the quality and safety of marketed sauces) Adoption of the Decree on the quality and safety of marketed sauces. https://www.onssa.gov.ma/wp-content/uploads/2024/11/DEC.2-24-394.FR_.pdf https://members.wto.org/crnattachments/2024/SPS/MAR/24_07874_00_f.pdf</t>
  </si>
  <si>
    <t>Sauces</t>
  </si>
  <si>
    <t>2103 - Sauce and preparations therefor; mixed condiments and mixed seasonings; mustard flour and meal, whether or not prepared, and mustard; 2103 - Sauce and preparations therefor; mixed condiments and mixed seasonings; mustard flour and meal, whether or not prepared, and mustard</t>
  </si>
  <si>
    <d:r xmlns:d="http://schemas.openxmlformats.org/spreadsheetml/2006/main">
      <d:rPr>
        <d:sz val="11"/>
        <d:rFont val="Calibri"/>
      </d:rPr>
      <d:t xml:space="preserve">https://members.wto.org/crnattachments/2024/SPS/MAR/24_07874_00_f.pdf
https://www.onssa.gov.ma/wp-content/uploads/2024/11/DEC.2-24-394.FR_.pdf</d:t>
    </d:r>
  </si>
  <si>
    <t>Resolución No 7.263 de 2024, que Aprueba Procedimiento de Autorización de Compartimentos libres de enfermedades para las especies que se indican (Resolution No. 7.263 of 2024, approving the authorization procedure for disease-free compartments for the species indicated) Chile hereby advises that Exempt Resolution No. 7.263/2024, approving the authorization procedure for disease-free compartments for the species indicated, entered into force on 16 November 2024. https://members.wto.org/crnattachments/2024/SPS/CHL/24_07873_00_s.pdf</t>
  </si>
  <si>
    <t>Fertile eggs, animals, genetic material and products of animal origin of poultry and swine</t>
  </si>
  <si>
    <t>040711 - Fertilised eggs for incubation, of domestic fowls; 0105 - Live poultry, "fowls of the species Gallus domesticus, ducks, geese, turkeys and guinea fowls"; 0103 - Live swine; 040719 - Fertilised birds' eggs for incubation (excl. of domestic fowls); 0103 - Live swine; 0105 - Live poultry, "fowls of the species Gallus domesticus, ducks, geese, turkeys and guinea fowls"; 040711 - Fertilised eggs for incubation, of domestic fowls; 040719 - Fertilised birds' eggs for incubation (excl. of domestic fowls)</t>
  </si>
  <si>
    <t>Animal health; Foot and mouth disease; Avian Influenza; Newcastle Disease; Animal diseases; African swine fever (ASF); Adoption/publication/entry into force of reg.; Newcastle Disease; Avian Influenza; Foot and mouth disease; African swine fever (ASF); Animal diseases; Animal health</t>
  </si>
  <si>
    <d:r xmlns:d="http://schemas.openxmlformats.org/spreadsheetml/2006/main">
      <d:rPr>
        <d:sz val="11"/>
        <d:rFont val="Calibri"/>
      </d:rPr>
      <d:t xml:space="preserve">https://members.wto.org/crnattachments/2024/SPS/CHL/24_07873_00_s.pdf</d:t>
    </d:r>
  </si>
  <si>
    <t>Proyecto de Resolución Directoral para el establecimiento de requisitos fitosanitarios de necesario cumplimiento en la importación de semillas de culantro (Coriandrum sativum) de origen y procedencia Francia (Draft Directorial Resolution establishing the mandatory phytosanitary requirements governing the importation of coriander (Coriandrum sativum) seed originating in and coming from France)</t>
  </si>
  <si>
    <t>The notified draft Directorial Resolution sets out the phytosanitary requirements governing the importation into Peru of coriander (Coriandrum sativum) seeds originating in and coming from France, following the completion of the relevant pest risk analysis.</t>
  </si>
  <si>
    <t>Coriander seeds (Coriandrum sativum) (HS code: 090921)</t>
  </si>
  <si>
    <t>090921 - Coriander seeds, neither crushed nor ground</t>
  </si>
  <si>
    <d:r xmlns:d="http://schemas.openxmlformats.org/spreadsheetml/2006/main">
      <d:rPr>
        <d:sz val="11"/>
        <d:rFont val="Calibri"/>
      </d:rPr>
      <d:t xml:space="preserve">https://members.wto.org/crnattachments/2024/SPS/PER/24_07878_00_s.pdf
El texto lo puede descargar de la página web del SENASA
 cuya ruta es la siguiente:
http://www.senasa.gob.pe/senasa/consulta-publica/ (disponible en español)</d:t>
    </d:r>
  </si>
  <si>
    <t>Nail Products Containing Methyl Methacrylate (MMA) as a Priority Product Department of Toxic Substances Control Reference Number: R-2023-03R</t>
  </si>
  <si>
    <t>Proposed rule - Notice is hereby given that the Department of Toxic Substances Control (DTSC) proposes to amend the California Code of Regulations, title 22, division 4.5, chapter 55, section 69511, and adopt section 69511.9. This proposed amendment pertains to identification of a Priority Product under the Safer Consumer Products (SCP) regulations, approved by the Office of Administrative Law (OAL) and filed with the Secretary of State on 28 August 2013 (effective date: 1 October 2013; OAL Regulatory Action Number: Z-2012-07170-04). DTSC proposes to add nail products containing methyl methacrylate (MMA) – including nail coatings and artificial nails – as a Priority Product to the Priority Products List. This listing would apply to any nail product containing MMA as an added ingredient, a residual, or a contaminant. </t>
  </si>
  <si>
    <t>Nail products containing methyl methacrylate (MMA) – including nail coatings and artificial nails; Quality (ICS code(s): 03.120); Environmental protection (ICS code(s): 13.020); Esters (ICS code(s): 71.080.70); Cosmetics. Toiletries (ICS code(s): 71.100.70)</t>
  </si>
  <si>
    <t>03.120 - Quality; 13.020 - Environmental protection; 71.080.70 - Esters; 71.100.70 - Cosmetics. Toiletries</t>
  </si>
  <si>
    <t>Prevention of deceptive practices and consumer protection (TBT); Protection of human health or safety (TBT); Quality requirements (TBT)</t>
  </si>
  <si>
    <d:r xmlns:d="http://schemas.openxmlformats.org/spreadsheetml/2006/main">
      <d:rPr>
        <d:sz val="11"/>
        <d:rFont val="Calibri"/>
      </d:rPr>
      <d:t xml:space="preserve">https://members.wto.org/crnattachments/2024/TBT/USA/24_07882_00_e.pdf
https://members.wto.org/crnattachments/2024/TBT/USA/24_07882_01_e.pdf</d:t>
    </d:r>
  </si>
  <si>
    <t>Jordan</t>
  </si>
  <si>
    <t>Amendment of Standard Specification for Manufactured Stone</t>
  </si>
  <si>
    <t>Includes the physical properties, sampling, testing, tolerance, and appearance requirements for manufactured stone.</t>
  </si>
  <si>
    <t>Masonry (ICS code(s): 91.080.30)</t>
  </si>
  <si>
    <t>91.080.30 - Masonry</t>
  </si>
  <si>
    <d:r xmlns:d="http://schemas.openxmlformats.org/spreadsheetml/2006/main">
      <d:rPr>
        <d:sz val="11"/>
        <d:rFont val="Calibri"/>
      </d:rPr>
      <d:t xml:space="preserve">https://jsmo.gov.jo/EBV4.0/Root_Storage/AR/EB_UsefullLinks/DJS_AMD1_JS2133.pdf</d:t>
    </d:r>
  </si>
  <si>
    <t>Detergents ـــ Safety and labelling Requirements for Household Detergents</t>
  </si>
  <si>
    <t>This Jordanian standard is concerned with the safety and labelling requirements and that must be met in household cleaners, so as to ensure consumer safety and environmental protection. This Jordanian standard does not include industrial cleaners and surface disinfectants</t>
  </si>
  <si>
    <t>Surface active agents (ICS code(s): 71.100.40)</t>
  </si>
  <si>
    <t>71.100.40 - Surface active agents</t>
  </si>
  <si>
    <t>Consumer information, labelling (TBT); Protection of human health or safety (TBT); Protection of the environment (TBT)</t>
  </si>
  <si>
    <d:r xmlns:d="http://schemas.openxmlformats.org/spreadsheetml/2006/main">
      <d:rPr>
        <d:sz val="11"/>
        <d:rFont val="Calibri"/>
      </d:rPr>
      <d:t xml:space="preserve">https://jsmo.gov.jo/EBV4.0/Root_Storage/AR/EB_UsefullLinks/%D8%B9_%D8%AA_2395-2024_%D9%85%D8%AA%D8%B7%D9%84%D8%A8%D8%A7%D8%AA_%D8%A7%D9%84%D8%B3%D9%84%D8%A7%D9%85%D8%A9_%D9%88%D8%A8%D8%B7%D8%A7%D9%82%D8%A9_%D8%A7%D9%84%D8%A8%D9%8A%D8%A7%D9%86_%D8%AA%D8%B5%D9%88%D9%8A%D8%AA_%D8%AB%D8%A7%D9%86%D9%8A.pdf
</d:t>
    </d:r>
  </si>
  <si>
    <t>Proyecto de Resolución Directoral para el establecimiento de requisitos fitosanitarios de necesario cumplimiento en la importación de semillas de culantro (Coriandrum sativum) de origen y procedencia Italia (Draft Directorial Resolution establishing the mandatory phytosanitary requirements governing the importation of coriander (Coriandrum sativum) seeds originating in and coming from Italy)</t>
  </si>
  <si>
    <t>The notified draft Directorial Resolution sets out the phytosanitary requirements governing the importation into Peru of coriander (Coriandrum sativum) seeds originating in and coming from Italy, following the completion of the relevant pest risk analysis.</t>
  </si>
  <si>
    <t>Coriander seeds (HS code: 090921)</t>
  </si>
  <si>
    <t>Italy</t>
  </si>
  <si>
    <d:r xmlns:d="http://schemas.openxmlformats.org/spreadsheetml/2006/main">
      <d:rPr>
        <d:sz val="11"/>
        <d:rFont val="Calibri"/>
      </d:rPr>
      <d:t xml:space="preserve">https://members.wto.org/crnattachments/2024/SPS/PER/24_07875_00_s.pdf
El texto lo puede descargar de la página web del SENASA
 cuya ruta es la siguiente:
http://www.senasa.gob.pe/senasa/consulta-publica/ (disponible en español)</d:t>
    </d:r>
  </si>
  <si>
    <t xml:space="preserve">N-(1,3-Dimethylbutyl)-N'-phenyl-p-phenylenediamine (6PPD) and its 
Transformation Product, 6PPD-quinone; Regulatory Investigation Under 
the Toxic Substances Control Act (TSCA)</t>
  </si>
  <si>
    <t xml:space="preserve">Advance notice of proposed rulemaking (ANPRM) - In granting a petition filed under the Toxic Substances 
Control Act (TSCA) by Earthjustice on behalf of the Yurok Tribe, the 
Port Gamble S'Klallam Tribe, and the Puyallup Tribe of Indians, the 
Environmental Protection Agency (EPA or Agency) committed to pursuing 
an action to solicit and collect information from the public on the 
potential risks associated with N-(1,3-Dimethylbutyl)-N'-phenyl-p-
phenylenediamine (6PPD) (CASRN 793-24-8, DTXSID 9025114) and its 
transformation product, 6PPD-quinone (CASRN 2754428-18-5, DTXSID 
301034849). With this document, EPA is soliciting that information, 
along with information about potential alternatives and regulatory 
options to help inform the Agency's consideration of potential future 
regulatory actions under TSCA.</t>
  </si>
  <si>
    <t>Tire anti-degradant; N-(1,3-Dimethylbutyl)-N'-phenyl-p-phenylenediamine (6PPD) and its transformation product, 6PPD-quinone; Environmental protection (ICS code(s): 13.020); Production in the chemical industry (ICS code(s): 71.020); Organic chemicals (ICS code(s): 71.080); Products of the chemical industry (ICS code(s): 71.100); Manufacturing processes in the rubber and plastics industries (ICS code(s): 83.020); Tyres in general (ICS code(s): 83.160.01); Pigments and extenders (ICS code(s): 87.060.10)</t>
  </si>
  <si>
    <t>13.020 - Environmental protection; 71.020 - Production in the chemical industry; 71.080 - Organic chemicals; 71.100 - Products of the chemical industry; 83.020 - Manufacturing processes in the rubber and plastics industries; 83.160.01 - Tyres in general; 87.060.10 - Pigments and extenders</t>
  </si>
  <si>
    <d:r xmlns:d="http://schemas.openxmlformats.org/spreadsheetml/2006/main">
      <d:rPr>
        <d:sz val="11"/>
        <d:rFont val="Calibri"/>
      </d:rPr>
      <d:t xml:space="preserve">https://members.wto.org/crnattachments/2024/TBT/USA/24_07881_00_e.pdf</d:t>
    </d:r>
  </si>
  <si>
    <t>Draft Plant Quarantine (Regulation of Import into India) Order, 2003 (Sixteenth Amendment) 2024</t>
  </si>
  <si>
    <t>The Draft Plant Quarantine (Regulation of Import into India) (Sixteenth Amendment) Order, 2024 seeks to further liberalize provisions governing import of dried fruits of plum (Prunus domestica) for consumption from France.</t>
  </si>
  <si>
    <t>Dried fruits of plum (Prunus domestica) for consumption</t>
  </si>
  <si>
    <t>081320 - Dried prunes</t>
  </si>
  <si>
    <t>Human health; Plant health; Territory protection; Pest- or Disease- free Regions / Regionalization</t>
  </si>
  <si>
    <d:r xmlns:d="http://schemas.openxmlformats.org/spreadsheetml/2006/main">
      <d:rPr>
        <d:sz val="11"/>
        <d:rFont val="Calibri"/>
      </d:rPr>
      <d:t xml:space="preserve">https://members.wto.org/crnattachments/2024/SPS/IND/24_07872_00_e.pdf</d:t>
    </d:r>
  </si>
  <si>
    <t>Decabromodiphenyl Ether and Phenol, Isopropylated Phosphate (3:1); Revision to the Regulation of Persistent, Bioaccumulative, and Toxic Chemicals Under the Toxic Substances Control Act (TSCA)</t>
  </si>
  <si>
    <t xml:space="preserve">The Environmental Protection Agency (EPA or Agency) is finalizing revisions to the regulations for decabromodiphenyl ether (decaBDE) and phenol, isopropylated phosphate (3:1) (PIP (3:1)), two of the five persistent, bioaccumulative, and toxic (PBT) chemicals addressed in final rules issued under the Toxic Substances Control Act (TSCA) in January 2021. After receiving additional comments, the Agency has determined that revisions to the decaBDE and PIP (3:1) regulations are necessary to address implementation issues and to further reduce the potential for exposures to decaBDE and PIP (3:1) for humans and the environment to the extent practicable.This rule is effective on 21 January 2025.89 Federal Register (FR) 91486, 19 November 2024; Title 40 Code of Federal Regulations (CFR) Part 751_x000D_
https://www.govinfo.gov/content/pkg/FR-2024-11-19/html/2024-25758.htm_x000D_
https://www.govinfo.gov/content/pkg/FR-2024-11-19/pdf/2024-25758.pdfThis final rule and the proposed rule notified as G/TBT/N/USA/2070 are identified by Docket Number EPA-HQ-OPPT-2023-0376. The Docket Folder is available on Regulations.gov at https://www.regulations.gov/docket/EPA-HQ-OPPT-2023-0376/document and provides access to primary and supporting documents as well as comments received. Documents are also accessible from Regulations.gov by searching the Docket Number. _x000D_
</t>
  </si>
  <si>
    <t>Decabromodiphenyl ether and phenol, isopropylated phosphate (3:1);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</si>
  <si>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 13.020 - Environmental protection; 13.120 - Domestic safety; 71.020 - Production in the chemical industry; 71.100 - Products of the chemical industry</t>
  </si>
  <si>
    <d:r xmlns:d="http://schemas.openxmlformats.org/spreadsheetml/2006/main">
      <d:rPr>
        <d:sz val="11"/>
        <d:rFont val="Calibri"/>
      </d:rPr>
      <d:t xml:space="preserve">https://members.wto.org/crnattachments/2024/TBT/USA/final_measure/24_07880_00_e.pdf</d:t>
    </d:r>
  </si>
  <si>
    <t>Proyecto de Resolución Directoral para el establecimiento de requisitos fitosanitarios de necesario cumplimiento en la importación de plantas in vitro de zarzamora (Rubus fruticosus) de origen y procedencia Panamá (Draft Directorial Resolution establishing mandatory phytosanitary requirements governing the importation of in vitro blackberry (Rubus fruticosus) plants originating in and coming from Panama)</t>
  </si>
  <si>
    <t>The notified draft Directorial Resolution sets out the phytosanitary requirements governing the importation of in vitro blackberry (Rubus fruticosus) plants originating in and coming from Panama, following the completion of the relevant pest risk analysis.</t>
  </si>
  <si>
    <t>In vitro blackberry (Rubus fruticosus) plants (HS code: 060290)</t>
  </si>
  <si>
    <t>060290 - Live plants, incl. their roots, and mushroom spawn (excl. bulbs, tubers, tuberous roots, corms, crowns and rhizomes, incl. chicory plants and roots, unrooted cuttings and slips, fruit and nut trees, rhododendrons, azaleas and roses)</t>
  </si>
  <si>
    <t>Panama</t>
  </si>
  <si>
    <d:r xmlns:d="http://schemas.openxmlformats.org/spreadsheetml/2006/main">
      <d:rPr>
        <d:sz val="11"/>
        <d:rFont val="Calibri"/>
      </d:rPr>
      <d:t xml:space="preserve">https://members.wto.org/crnattachments/2024/SPS/PER/24_07877_00_s.pdf
El texto lo puede descargar de la página web del SENASA
 cuya ruta es la siguiente:
http://www.senasa.gob.pe/senasa/consulta-publica/ (disponible en español)</d:t>
    </d:r>
  </si>
  <si>
    <t>The proposed amendments seek to:Revise and establish the standards and specifications of Milk formulas and Formulas;Revise the maximum residual limits of pesticides for agricultural products.</t>
  </si>
  <si>
    <d:r xmlns:d="http://schemas.openxmlformats.org/spreadsheetml/2006/main">
      <d:rPr>
        <d:sz val="11"/>
        <d:rFont val="Calibri"/>
      </d:rPr>
      <d:t xml:space="preserve">https://members.wto.org/crnattachments/2024/SPS/KOR/24_07879_00_x.pdf</d:t>
    </d:r>
  </si>
  <si>
    <t>Proyecto de Resolución Directoral para el establecimiento de requisitos fitosanitarios de necesario cumplimiento en la importación de especímenes vivos de Galendromus occidentalis de origen y procedencia Israel (Draft Directorial Resolution establishing mandatory phytosanitary requirements governing the importation of live specimens of Galendromus occidentalis originating in and coming from Israel)</t>
  </si>
  <si>
    <t>The notified draft Directorial Resolution sets out the phytosanitary requirements governing the importation of live specimens of Galendromus occidentalis originating in and coming from Israel, following the completion of the relevant pest risk analysis.</t>
  </si>
  <si>
    <t>Live specimens of Galendromus occidentalis (HS code: 010690)</t>
  </si>
  <si>
    <t>010690 - Live animals (excl. mammals, reptiles, birds, insects, fish, crustaceans, molluscs and other aquatic invertebrates and cultures of micro-organisms, etc.)</t>
  </si>
  <si>
    <d:r xmlns:d="http://schemas.openxmlformats.org/spreadsheetml/2006/main">
      <d:rPr>
        <d:sz val="11"/>
        <d:rFont val="Calibri"/>
      </d:rPr>
      <d:t xml:space="preserve">https://members.wto.org/crnattachments/2024/SPS/PER/24_07876_00_s.pdf
El texto lo puede descargar de la página web del SENASA
 cuya ruta es la siguiente:
http://www.senasa.gob.pe/senasa/consulta-publica/ (disponible en español)</d:t>
    </d:r>
  </si>
  <si>
    <t>Resolución Exenta No 6.293/2024 que "Establece requisitos fitosanitarios de importación para plantas de frutilla (Fragaria x ananassa) procedentes de Estados Unidos de Norteamérica, modifica resoluciones No 5.479 de 2006 y No 1.423 de 2010, deroga resolución No 703 de 2024" (Exempt Resolution No. 6.293/2024 establishing phytosanitary requirements governing the importation of strawberry plants (Fragaria x ananassa) coming from the United States of America, amending Resolutions No. 5.479 of 2006 and No. 1.423 of 2010, and repealing Resolution No. 703 of 2024) Chile hereby advises that Exempt Resolution No. 6.293/2024 establishing phytosanitary requirements governing the importation of strawberry plants (Fragaria x ananassa) coming from the United States of America, amending Resolutions No. 5.479 of 2006 and No. 1.423 of 2010, and repealing Resolution No. 703 of 2024, entered into force on 14 November 2024. https://members.wto.org/crnattachments/2024/SPS/CHL/24_07868_00_s.pdf</t>
  </si>
  <si>
    <t>Strawberries (Fragaria x ananassa)</t>
  </si>
  <si>
    <t>060220 - Edible fruit or nut trees, shrubs and bushes, whether or not grafted; 060220 - Edible fruit or nut trees, shrubs and bushes, whether or not grafted</t>
  </si>
  <si>
    <t>Adoption/publication/entry into force of reg.; Plant health; Pests; Territory protection; Territory protection; Pests; Plant health</t>
  </si>
  <si>
    <d:r xmlns:d="http://schemas.openxmlformats.org/spreadsheetml/2006/main">
      <d:rPr>
        <d:sz val="11"/>
        <d:rFont val="Calibri"/>
      </d:rPr>
      <d:t xml:space="preserve">https://members.wto.org/crnattachments/2024/SPS/CHL/24_07868_00_s.pdf</d:t>
    </d:r>
  </si>
  <si>
    <t>Draft Order of the Ministry of Health of Ukraine “Some Issues of Implementation of the Law of Ukraine No. 3860-IX “On Amendments to Certain Laws of Ukraine on Parallel Import of Medicines” of 16 July 2024”</t>
  </si>
  <si>
    <t>The draft Order has been developed to establish the procedure for issuing or refusing to issue permits for parallel imports of medicines, including amendments, suspension, renewal, cancellation or termination of such permits. It also aims to ensure the control and pharmacovigilance over medicines, including medical immunobiological products, imported into Ukraine for the purposes of parallel imports and in circulation during the term of validity of the parallel import permit.</t>
  </si>
  <si>
    <d:r xmlns:d="http://schemas.openxmlformats.org/spreadsheetml/2006/main">
      <d:rPr>
        <d:sz val="11"/>
        <d:rFont val="Calibri"/>
      </d:rPr>
      <d:t xml:space="preserve">https://members.wto.org/crnattachments/2024/TBT/UKR/24_07863_00_x.pdf
https://members.wto.org/crnattachments/2024/TBT/UKR/24_07863_01_x.pdf
https://members.wto.org/crnattachments/2024/TBT/UKR/24_07863_02_x.pdf
https://members.wto.org/crnattachments/2024/TBT/UKR/24_07863_03_x.pdf
https://members.wto.org/crnattachments/2024/TBT/UKR/24_07863_04_x.pdf
https://members.wto.org/crnattachments/2024/TBT/UKR/24_07863_05_x.pdf</d:t>
    </d:r>
  </si>
  <si>
    <t>FOOD 14514: KHOA milk product — Specification. </t>
  </si>
  <si>
    <t>This Draft Kenya Standard specifies requirements, sampling and test methods for KHOA (intended for direct consumption or further processing.</t>
  </si>
  <si>
    <t>Milk and milk products (ICS code(s): 67.100)</t>
  </si>
  <si>
    <t>67.100 - Milk and milk products</t>
  </si>
  <si>
    <d:r xmlns:d="http://schemas.openxmlformats.org/spreadsheetml/2006/main">
      <d:rPr>
        <d:sz val="11"/>
        <d:rFont val="Calibri"/>
      </d:rPr>
      <d:t xml:space="preserve">https://members.wto.org/crnattachments/2024/TBT/KEN/24_07865_00_e.pdf</d:t>
    </d:r>
  </si>
  <si>
    <t>Modifications to the List of Permitted Food Additives to set out the use of certain food colours, emulsifying agents and preservatives in two types of standardized flavouring preparations</t>
  </si>
  <si>
    <t>As part of the modernization of Part B of the Food and Drug Regulations (FDR), Health Canada's Food and Nutrition Directorate intends to set out specific permitted uses of food colours and preservatives in “(naming the flavour) Extract or (naming the flavour) Essence” and of food colours, preservatives and emulsifying agents in “(naming the flavour) Flavour” in the Lists of Permitted Food Additives. The specific uses are based on the functional class food additive provisions currently set out in the food compositional standards for these two types of flavouring preparations and information Health Canada received from industry on the use of food additives from these functional classes in flavouring preparations.These modifications will come into force the day on which they are published in the Lists of Permitted Food Additiveshttps://www.canada.ca/en/health-canada/services/food-nutrition/food-safety/food-additives/lists-permitted.html) that will be incorporated by reference directly into the FDR. Health Canada will publish these lists on the Canada.ca website concurrently with the Regulations Amending Certain Regulations Concerning Food Additives and Compositional Standards, Microbiological Criteria and Methods of Analysis for Foodhttps://www.gazette.gc.ca/rp-pr/p1/2023/2023-11-04/html/reg2-eng.html) which will be published in the Canada Gazette, Part II.The purpose of the information document is to publicly announce the Department's intent in this regard and to provide the appropriate contact information for those wishing to submit an inquiry or new scientific information relevant to the safety of these food additives.</t>
  </si>
  <si>
    <t>Various food colours, emulsifying agents and preservatives (ICS codes: 67.220.20)</t>
  </si>
  <si>
    <t>67.220.20 - Food additives</t>
  </si>
  <si>
    <t>UAE Control scheme for Security and Safety requirements in Industrial Gas Facilities</t>
  </si>
  <si>
    <t>This UAE control scheme outlines the regulatory framework for various facilities and operations related to industrial gases within the state's territory, including free zones. Here's a breakdown of its key components:A. Scope of the schemeThe decision applies to the following:Industrial Gases Facilities: This includes institutions and companies involved in:ProductionPackagingImportExportTransportationStorage of industrial gases.Production or Import of Cylinders, Pipes, and Tanks: Facilities engaged in the manufacture or import of cylinders, pipes, tanks, and other vessels used for filling industrial gases.Gas Containers: The decision covers cylinders, pipes, tanks, and other containers used for gases, whether they are empty or filled.Equipment and Fittings in the Gas Sector: This includes valves, pressure regulators, connections, and other accessories installed on gas cylinders and tanks.Maintenance and Rehabilitation Centres: Facilities that focus on maintaining, refurbishing and test of industrial gas cylinders and tanks.Transport and Handling of Gases: This includes means of land transport, logistics operations, and the storage and handling of cylinders and containers that hold compressed or refrigerated gases.B. ExclusionsThe following are excluded from the provisions of this decision:Petroleum Gas and Natural Gas: Facilities and operations related to petroleum gas and natural gas, including their transportation, storage, and containers filled with these gases, are not covered by this decision. This exclusion applies to all forms of petroleum and natural gas, whether compressed or liquefied.In summary, the scheme regulates all activities and facilities associated with the handling, production, transport, and storage of industrial gases, while explicitly excluding those related to petroleum and natural gases.</t>
  </si>
  <si>
    <t>Industrial Gas Facilities</t>
  </si>
  <si>
    <t>23.020.10 - Stationary containers and tanks; 75.180 - Equipment for petroleum and natural gas industries; 75.200 - Petroleum products and natural gas handling equipment; 23.020.35 - Gas cylinders</t>
  </si>
  <si>
    <t>Prevention of deceptive practices and consumer protection (TBT); Protection of human health or safety (TBT); Quality requirements (TBT); Cost saving and productivity enhancement (TBT)</t>
  </si>
  <si>
    <d:r xmlns:d="http://schemas.openxmlformats.org/spreadsheetml/2006/main">
      <d:rPr>
        <d:sz val="11"/>
        <d:rFont val="Calibri"/>
      </d:rPr>
      <d:t xml:space="preserve">https://members.wto.org/crnattachments/2024/TBT/ARE/24_07859_00_x.pdf</d:t>
    </d:r>
  </si>
  <si>
    <t>Climate Protection Program (CPP) 2024</t>
  </si>
  <si>
    <t xml:space="preserve">Oregon Department of Environmental Quality (DEQ) will present the Climate Protection Program 2024 rulemaking to the Environmental Quality Commission for a decision at its 21 November 2024 meeting. DEQ is proposing a climate protection program, including proposed new rules and permanent rule amendments to chapter 340 of the Oregon Administrative Rules. As part of adopting the proposed climate protection program, DEQ is proposing to adopt new rules, chapter 340, Division 273, and proposing corresponding rule amendments to chapter 340, Divisions 12, 215, 216, 253 and 272.   Climate Protection Program 2024, Division 273  Enforcement Procedure and Civil Penalties, Division 12   Air Contaminant Discharge Program, Division 216  Greenhouse Gas Reporting Program, Division 215   Oregon Clean Fuels Program, Division 253  Third-Party Verification, Division 272   Thursday, 21 November 2024, 9 a.m. to 4:15 p.m.Pacific TimeJoin Zoom Meeting_x000D_
Meeting ID: 862 7953 9159_x000D_
One tap mobile_x000D_
+17193594580, 86279539159# USDEQ will present this item to the EQC on 21 November 2024 at 10:40 a.m.Pacific Time. Please visit the EQC website for meeting details and information on attending this meeting.Meeting materials are now available on the EQC websiteItem D: Climate Protection Program 2024 Rulemaking (Action)Attachment A1: Draft Rules – Division 273Attachment A2: Draft Rules – Divisions 12, 215, 216, 253, 272 (Edits Highlighted)Attachment B: Draft Rules – Division 273 (Edits Highlighted)Attachment C: Response to CommentsAttachment D: CPP 2024 Data SpreadsheetAttachment E: CCI WorksheetAdditional information about this rulemaking, including the Notice of Proposed Rulemaking is available on the CPP 2024 rulemaking web page and the CPP program website. If you want to receive future email notices about this rulemaking, please sign up to receive updates here or contact CPP.2024@DEQ.oregon.gov</t>
  </si>
  <si>
    <t>Climate protection; Environmental protection (ICS code(s): 13.020); Air quality in general (ICS code(s): 13.040.01)</t>
  </si>
  <si>
    <t>13.020 - Environmental protection; 13.040.01 - Air quality in general; 13.020 - Environmental protection; 13.040.01 - Air quality in general</t>
  </si>
  <si>
    <t>Toxic Free Kids Act</t>
  </si>
  <si>
    <t>Notice of proposed rulemaking - The Oregon Health Authority (OHA), Public Health Division is proposing to permanently amend administrative rules in chapter 333, division 16 related to the Toxic Free Kids ActHouse Bill 3043 (Oregon Laws 2023, chapter 426) or HB3043 was passed by the Oregon Legislature during the 2023 legislative session and signed into law by Governor Tina Kotek. The law modifies existing statute (2015 Toxic Free Kids Act). The amendments directly affect manufacturers with annual worldwide gross sales of $5 million or more that sell or offer for sale children’s products in Oregon containing high priority chemicals of concern for children’s health (HPCCCH) at de minimis. The Toxic Free Kids (TFK) Program’s charge is to maintain a list of high priority chemicals of concern for children’s health. Manufacturers of children’s products containing those chemicals must report those products to the Oregon Health Authority (OHA). Under the Act, manufacturers are required to remove or substitute such chemicals in certain product types after making three biennial notices/reports. Rules for these requirements have been established through past rulemaking. This rulemaking implements provisions of HB3043 and conducts triennial review of the High Priority Chemicals of Concern for Children's Health (HPCCCH) list. OHA proposes the following changes: • HB3043 requires manufacturers to report a children’s product by its brand name and product model. OHA proposes to incorporate these requirements into TFK’s reporting rule and add a definition for the term “product model.” • HB3043 changed the reporting deadline for manufacturers from January 1 of even-numbered years to January 31 of even numbered years. A previous rulemaking made that change to the reporting rule. To align with that change, this rulemaking shifts due dates in several rules to align with the revised reporting deadline, including those for requests for exemption from notice requirements, and date on which manufacturers must notify OHA that a HPCCCH has been removed or substituted from products. • HB3043 specifies that approved Hazard Assessments (HA) submitted as part of a chemical substitution are valid for three years after the date of submission, and then must be resubmitted. In addition to including these changes in the chemical substitution rule, OHA proposes that an HA approved for a substitute chemical for a total of six years does not need to be submitted a third time. The amendment clarifies that selling or offering for sale products with a substitute chemical not specified in an approved HA is a violation. • Finally, the rules advisory committee (RAC) conducted a triennial review of the High Priority Chemicals of Concern for Children's Health (HPCCCH) list, as required by ORS 431A.255. OHA proposes the addition of ten chemicals from Washington State Department of Ecology’s Reporting List of Chemicals of High Concern to Children (CHCC) be added to the HPCCCH list. Practical Quantification Limits (PQLs) and detection methods for these ten chemicals were also included in this rule change. The additions are to be effective 1 January 2025, and will apply to biennial notifications due on 31 January 2026 for products sold or offered for sale in Oregon in 2024 and 2025. • OHA proposes changes to the rule under which manufacturers may request exemption from the removal or substitution requirement. In addition to clarifying requirements under this rule, OHA proposes that a manufacturer, which has an approved list of products exempted under this rule, be allowed to add additional product models that are chemically identical to one or more of the models on their approved list. Finally, OHA proposes clarifications of the conditions under which a manufacturer may be in violation of HPCCCH removal provisions. For more details, please see the Notice of Proposed Rulemaking, including the Statements of Need and Fiscal and Racial Equity Impacts, and the full text of the proposed rules at: http://www.healthoregon.org/toxicfreekids. These are found in the Phase 5 section of the Rules and Implementation page. </t>
  </si>
  <si>
    <t>Chemicals; Domestic safety (ICS code(s): 13.120); Production in the chemical industry (ICS code(s): 71.020); Products of the chemical industry (ICS code(s): 71.100); Equipment for children (ICS code(s): 97.190)</t>
  </si>
  <si>
    <t>13.120 - Domestic safety; 71.020 - Production in the chemical industry; 71.100 - Products of the chemical industry; 97.190 - Equipment for children</t>
  </si>
  <si>
    <d:r xmlns:d="http://schemas.openxmlformats.org/spreadsheetml/2006/main">
      <d:rPr>
        <d:sz val="11"/>
        <d:rFont val="Calibri"/>
      </d:rPr>
      <d:t xml:space="preserve">https://members.wto.org/crnattachments/2024/TBT/USA/24_07842_00_e.pdf
https://members.wto.org/crnattachments/2024/TBT/USA/24_07842_01_e.pdf</d:t>
    </d:r>
  </si>
  <si>
    <t>DKS 3020:2024 Linseed (Flaxseed) — Specification</t>
  </si>
  <si>
    <t>OIL SEEDS AND OLEAGINOUS FRUITS; MISCELLANEOUS GRAINS, SEEDS AND FRUIT; INDUSTRIAL OR MEDICINAL PLANTS; STRAW AND FODDER (HS code(s): 12); Oilseeds (ICS code(s): 67.200.20)</t>
  </si>
  <si>
    <d:r xmlns:d="http://schemas.openxmlformats.org/spreadsheetml/2006/main">
      <d:rPr>
        <d:sz val="11"/>
        <d:rFont val="Calibri"/>
      </d:rPr>
      <d:t xml:space="preserve">https://members.wto.org/crnattachments/2024/TBT/KEN/24_07852_00_e.pdf</d:t>
    </d:r>
  </si>
  <si>
    <t>DKS 3019:2024 Sunflower seeds for oil extraction — Specification</t>
  </si>
  <si>
    <t>This draft Kenya Standard specifies requirements, sampling and testing methods for sunflower (Helianthus annuus. L) seeds intended for oil extraction for human consumption. </t>
  </si>
  <si>
    <t>Sunflower seeds, whether or not broken. (HS code(s): 1206); Oilseeds (ICS code(s): 67.200.20)</t>
  </si>
  <si>
    <d:r xmlns:d="http://schemas.openxmlformats.org/spreadsheetml/2006/main">
      <d:rPr>
        <d:sz val="11"/>
        <d:rFont val="Calibri"/>
      </d:rPr>
      <d:t xml:space="preserve">https://members.wto.org/crnattachments/2024/TBT/KEN/24_07854_00_e.pdf</d:t>
    </d:r>
  </si>
  <si>
    <t>DKS 3017:2024 Castor seed for oil extraction — Specification   </t>
  </si>
  <si>
    <t>This Draft Kenya Standard specifies requirements, methods of sampling and test for castor seeds commonly known as castor beans derived from the plant Ricinus communis intended for oil extraction for industrial use. This standard does not apply to castor seeds for oil extraction intended for pharmaceutical use.</t>
  </si>
  <si>
    <t>Castor oil seeds (HS code(s): 120730); Oilseeds (ICS code(s): 67.200.20)</t>
  </si>
  <si>
    <t>120730 - Castor oil seeds</t>
  </si>
  <si>
    <d:r xmlns:d="http://schemas.openxmlformats.org/spreadsheetml/2006/main">
      <d:rPr>
        <d:sz val="11"/>
        <d:rFont val="Calibri"/>
      </d:rPr>
      <d:t xml:space="preserve">https://members.wto.org/crnattachments/2024/TBT/KEN/24_07864_00_e.pdf</d:t>
    </d:r>
  </si>
  <si>
    <t>Proposed Revision of the “Special Act on Imported Food Safety Control”</t>
  </si>
  <si>
    <t>The closure of business can not be reported not only during the business suspension period but also during a period from the time when a prior notice of disposition pursuant to Article 21 (Prior Notice of Disposition) of the Administrative Procedures Act is reached and the disposition becomes effective.The basis for delegation is prepared so that the matters regarding imported food, etc. by original equipment manufacturing (OEM) to be observed by business entities are determined through Ordinance of the Prime Minister.  The basis for the planned import approval system is prepared in the law to allow the omission of documentary and field inspections during import declaration for the imported foods, etc. of which safety has been ensured for a long period, provided that such products have the annual import plan approved in advance. </t>
  </si>
  <si>
    <d:r xmlns:d="http://schemas.openxmlformats.org/spreadsheetml/2006/main">
      <d:rPr>
        <d:sz val="11"/>
        <d:rFont val="Calibri"/>
      </d:rPr>
      <d:t xml:space="preserve">https://members.wto.org/crnattachments/2024/SPS/KOR/24_07857_00_x.pdf</d:t>
    </d:r>
  </si>
  <si>
    <t>DKS 3022: 2024 Boerewors – Specification</t>
  </si>
  <si>
    <t>Consumer information, labelling (TBT); Prevention of deceptive practices and consumer protection (TBT); Protection of human health or safety (TBT); Quality requirements (TBT); Reducing trade barriers and facilitating trade (TBT); Cost saving and productivity enhancement (TBT)</t>
  </si>
  <si>
    <d:r xmlns:d="http://schemas.openxmlformats.org/spreadsheetml/2006/main">
      <d:rPr>
        <d:sz val="11"/>
        <d:rFont val="Calibri"/>
      </d:rPr>
      <d:t xml:space="preserve">https://members.wto.org/crnattachments/2024/TBT/KEN/24_07862_00_e.pdf
Kenya Bureau of Standards
WTO/TBT National Enquiry Point
P.O. Box: 54974-00200
 Nairobi
 Kenya
Telephone: + (254) 020 605490
 605506/6948258
Fax: + (254) 020 609660/609665
E-mail: info@kebs.org; Website: http://www.kebs.org
</d:t>
    </d:r>
  </si>
  <si>
    <t>DKS 3018:2024 Canola (Rapeseed) seeds for oil extraction — Specification</t>
  </si>
  <si>
    <t>This draft Kenya Standard specifies requirements, sampling and testing methods for canola seeds of the species Brassica napus L., Brassica rapa L., Brassica juncea L. and Brassica tournefortii Gouan intended for oil extraction for human consumption.</t>
  </si>
  <si>
    <d:r xmlns:d="http://schemas.openxmlformats.org/spreadsheetml/2006/main">
      <d:rPr>
        <d:sz val="11"/>
        <d:rFont val="Calibri"/>
      </d:rPr>
      <d:t xml:space="preserve">https://members.wto.org/crnattachments/2024/TBT/KEN/24_07844_00_e.pdf</d:t>
    </d:r>
  </si>
  <si>
    <t xml:space="preserve">Partial amendment to the Minimum Requirements for Biological Products_x000D_
Partial amendment to The Public Notice on National Release Testing.</t>
  </si>
  <si>
    <t xml:space="preserve">The Minimum Requirements for Biological Products will be amended as follows:The standard for “High dose Influenza HA Vaccine” that is to be newly approved will be added. And regarding the standard for “pH4-Treated Normal Human Immunoglobulin (Subcutaneous injection)”, the section of “Final bulk and final product” will be partially amended._x000D_
The Public Notice on National Release Testing will be amended as follows:The criterion, fee, and quantity for “High dose Influenza HA Vaccine” that is to be newly approved will be added. And the quantity for “pH4-Treated Normal Human Immunoglobulin (Subcutaneous injection)” will be partially amended. In addition, the criterion, fee, and quantity for “Lyophilized Human Prothrombin Complex Concentrate”, “pH4-Treated Normal Human Immunoglobulin”, and “Polyethylene Glycol Treated Normal Human Immunoglobulin” will be partially amended.</t>
  </si>
  <si>
    <t>Pharmaceutical products (HS: 30)</t>
  </si>
  <si>
    <d:r xmlns:d="http://schemas.openxmlformats.org/spreadsheetml/2006/main">
      <d:rPr>
        <d:sz val="11"/>
        <d:rFont val="Calibri"/>
      </d:rPr>
      <d:t xml:space="preserve">https://members.wto.org/crnattachments/2024/TBT/JPN/24_07867_00_e.pdf</d:t>
    </d:r>
  </si>
  <si>
    <t>DKS 3023: 2024 Mutura – Specification  </t>
  </si>
  <si>
    <d:r xmlns:d="http://schemas.openxmlformats.org/spreadsheetml/2006/main">
      <d:rPr>
        <d:sz val="11"/>
        <d:rFont val="Calibri"/>
      </d:rPr>
      <d:t xml:space="preserve">https://members.wto.org/crnattachments/2024/TBT/KEN/24_07856_00_e.pdf
Kenya Bureau of Standards
WTO/TBT National Enquiry Point
P.O. Box: 54974-00200
 Nairobi
 Kenya
Telephone: + (254) 020 605490
 605506/6948258
Fax: + (254) 020 609660/609665
E-mail: info@kebs.org; Website: http://www.kebs.org
</d:t>
    </d:r>
  </si>
  <si>
    <t>draft Commission Regulation (EU) …/… laying down ecodesign requirements for external power supplies, wireless chargers, wireless charging pads, battery chargers for portable batteries of general use, and USB Type-C cables, pursuant to Directive 2009/125/EC of the European Parliament and of the Council, and repealing Commission Regulation (EC) 2019/1782 </t>
  </si>
  <si>
    <t>The draft Commission Regulation contains ecodesign requirements for the placing on the market or putting into service of external power supplies (EPS), battery chargers for portable batteries of general use, wireless chargers, wireless charging pads and USB Type-C cables.In particular, the following aspects are proposed:extending the scope to include wireless chargers and battery chargers for portable batteries of general use as defined in Regulation (EU) 2023/1542 of the European Parliament and of the Council, in view of interoperability requirements;introducing stand-by consumption limits for wireless chargers and wireless charging pads;extending the scope to USB Type-C cables in order to limit their energy losses and inform consumers of the maximum power supported;removing the restriction on the definition of EPS to those with an output power lower than 250 W, and those powering a limited list of products (Annex I in Regulation 2019/1782);requiring an EU ‘Common Charger’ logo to be affixed to USB Type-C chargers to inform consumers about their interoperability;requiring USB Type-C chargers to operate with detachable cables and be marked at each port with the power supported;introducing a general requirement for EPS to be USB Type-C chargers to power a range of products not covered by the Radio Equipment Directive in order to maximise interoperability;excluding certain EPS from the interoperability requirements (including EPS used in/with wet-use conditions, toys, high levels of electrostatic discharge, most power tools, audio equipment, peak-power requirement, etc.);raising the minimum thresholds for energy efficiency;introducing a threshold for a minimum efficiency at 10% load;introducing an output power performance requirement clarifying the test conditions (particularly for adaptive power supplies);requiring USB Type-C and USB PD power supplies to be tested without a cable and introducing a unique cable correction factor in order to ensure a level playing field for interoperable EPS. The draft regulation takes account of the comments received from members of the Ecodesign and Energy Labelling Consultation Forum (X03609) following its meeting on 24 November 2023.</t>
  </si>
  <si>
    <t>external power supplies (EPS)</t>
  </si>
  <si>
    <t>29.060.01 - Electrical wires and cables in general; 29.220.99 - Other cells and batteries</t>
  </si>
  <si>
    <d:r xmlns:d="http://schemas.openxmlformats.org/spreadsheetml/2006/main">
      <d:rPr>
        <d:sz val="11"/>
        <d:rFont val="Calibri"/>
      </d:rPr>
      <d:t xml:space="preserve">https://members.wto.org/crnattachments/2024/TBT/EEC/24_07871_00_e.pdf
https://members.wto.org/crnattachments/2024/TBT/EEC/24_07871_01_e.pdf</d:t>
    </d:r>
  </si>
  <si>
    <t>Ministry for Primary Industries, Import Health Standard: Fresh Cut Flowers and Foliage for Decorative Purposes (155.02.04)</t>
  </si>
  <si>
    <t>The proposed standard will replace the three current standards (Cut Flowers and FoliageCut Flowers and Branches Cordyline and Dracaena Species from All Countries, and Oncidium Cut Flowers)We are proposing several key changes to what can be imported, and to our import requirements. Adding 36 new plant genera and remove 78 plant genera. This would bring the total genera available to import to 136;Cut flowers and foliage will be available from 26 countries instead of 14;There will be additional requirements to manage pests on 57 host genera;We will no longer require any cut flowers and foliage to be devitalised.Further details can be found within the Risk Management Proposal document.</t>
  </si>
  <si>
    <t>Fresh cut flowers and foliage for decorative purposes</t>
  </si>
  <si>
    <t>060420 - Foliage, branches and other parts of plants, without flowers or flower buds, and grasses, mosses and lichens, being goods of a kind suitable for bouquets or for ornamental purposes, fresh; 06031 - - Fresh:</t>
  </si>
  <si>
    <d:r xmlns:d="http://schemas.openxmlformats.org/spreadsheetml/2006/main">
      <d:rPr>
        <d:sz val="11"/>
        <d:rFont val="Calibri"/>
      </d:rPr>
      <d:t xml:space="preserve">https://members.wto.org/crnattachments/2024/SPS/NZL/24_07850_01_e.pdf
https://members.wto.org/crnattachments/2024/SPS/NZL/24_07850_00_e.pdf</d:t>
    </d:r>
  </si>
  <si>
    <t>DKS 2958-2:2024 Nuts and Oil Crops industry — Code of practice  Part 2 Annual nuts and oilseed crops</t>
  </si>
  <si>
    <t>This draft Kenya Code of Practice for the Nuts and Oil Crops industry specifies the requirements essential for legal compliance, the responsible and safe production of annual nuts and oilseed crops. The code also guides the procurement of inputs and marketing of annual nuts and oilseed crops products. It applies to all industry players in their respective and relevant value chain node including but not limited to; seed merchants, nursery operators, growers, marketing agents, aggregators, transporters, manufacturers, shippers, and cargo handlers.The code also provides the basis for licensing and/or certification of industry players.</t>
  </si>
  <si>
    <t>EDIBLE FRUIT AND NUTS; PEEL OF CITRUS FRUIT OR MELONS (HS code(s): 08); OIL SEEDS AND OLEAGINOUS FRUITS; MISCELLANEOUS GRAINS, SEEDS AND FRUIT; INDUSTRIAL OR MEDICINAL PLANTS; STRAW AND FODDER (HS code(s): 12); Other standards related to farming and forestry (ICS code(s): 65.020.99)</t>
  </si>
  <si>
    <d:r xmlns:d="http://schemas.openxmlformats.org/spreadsheetml/2006/main">
      <d:rPr>
        <d:sz val="11"/>
        <d:rFont val="Calibri"/>
      </d:rPr>
      <d:t xml:space="preserve">https://members.wto.org/crnattachments/2024/TBT/KEN/24_07846_00_e.pdf</d:t>
    </d:r>
  </si>
  <si>
    <t>Modification to the List of Permitted Food Enzymes to authorize the use of lipase from a new source and Modification to the List of Permitted Food Enzymes to authorize the use of leucyl aminopeptidase from a new source</t>
  </si>
  <si>
    <t>Health Canada's Food and Nutrition Directorate completed the premarket safety assessments of two food additive submissions seeking authorization for 1) the use of leucyl aminopeptidase from Aspergillus oryzae AT1088 in the manufacture of bakery products; bread; Colby cheese;dairy-based flavouring preparations; flour; hydrolyzed animal, milk and vegetable proteins; hydrolyzed yeasts; spray-dried cheese powder; meat tenderizing preparations; various plant-based foods; pre-cooked (instant) breakfast cereals, whole wheat flour and yeast extracts, and 2) the use of lipase from Aspergillus niger PLR in bakery products, bread, flour, pasta and whole wheat flour.The results of the premarket assessments support the safety of leucyl aminopeptidase from A. oryzae AT1088and of lipase from A. niger PLR for their requested uses. Consequently, Health Canada has authorized their uses as described in the information documents referenced above by modifying the List of Permitted Food Enzymes (https://www.canada.ca/en/health-canada/services/food-nutrition/food-safety/food-additives/lists-permitted/5-enzymes.html), effective 30 October 2024.The notice “Modification to the List of Permitted Food Enzymes to authorize the use of leucyl aminopeptidase from a new source” also reports on a corrective modification to the List of Permitted Food Enzymes. It explains that plant-based products that resemble fish or seafood products had been unintentionally excluded from the foods listing for carboxypeptidase D from Aspergillus oryzae AT1727 when the list was modified on 23 May 2023 and that entries for these food categories have been set out in the list for this food enzyme to correct this as of 30 October 2024.The purpose of these information documents is to publicly announce the Department's decision in this regard and to provide the appropriate contact information for those wishing to submit an inquiry or new scientific information relevant to the safety of these food additives. </t>
  </si>
  <si>
    <t>Lipase from Aspergillus niger PLR; Leucyl aminopeptidase from Aspergillus oryzae AT1088 (ICS code: 67.220.20)</t>
  </si>
  <si>
    <t>Modification to the Table of reference amounts for food (very high fibre cereals, nutritional yeast, fondue cooking broths)</t>
  </si>
  <si>
    <t>The purpose of this notice is to inform consumers and interested stakeholders that Health Canada’s Food and Nutrition Directorate has modified the Table of Reference Amounts for Food to address certain areas requiring revision and/or clarity which includes items related to very high fibre cereals, nutritional yeast, and fondue cooking broths. The above modification came into force October 18, 2024, the day it was published in the document, Nutrition LabellingTable of Reference Amounts for Food. This modification includes: new serving size instructions for very high fibre cereals that contain an amount of fibre more likely to be consumed in one sitting; a new reference amount category and corresponding serving size instructions for nutritional yeast; and revisions to the reference amount for fondue cooking broths, as well as the addition of “amount to make” serving size instructions for unprepared forms of fondue cooking broths.    Health Canada's Food and Nutrition Directorate is committed to reviewing any new information relating to this Notice. Anyone wishing to submit an inquiry, or new information may do so by regular mail or email.</t>
  </si>
  <si>
    <t>Prepackaged food products (ICS: 67.230)</t>
  </si>
  <si>
    <t>67.230 - Prepackaged and prepared foods; 67.230 - Prepackaged and prepared foods</t>
  </si>
  <si>
    <t>Nutrition information; Labelling; Food standards; Nutrition information; Labelling; Food standards</t>
  </si>
  <si>
    <t>Turkish Food Codex Communiqué - Amending Turkish Food Codex Communiqué on Infant Formula and Follow-on Formula</t>
  </si>
  <si>
    <t>"Turkish Food Codex - Communiqué on Infant Formula and Follow-on Formula and Requirements on Information Relating to Infant and Young Child Feeding" was notified through G/SPS/N/TUR/99 on 19 July 2018. Three amendments for the aforementioned regulation were notified through G/SPS/N/TUR/99/Add.1 on 23 July 2019, G/SPS/N/TUR/99/Add.2 on 11 August 2022 and G/SPS/N/TUR/99/Add.3 on 23 August 2023.An amendment has been proposed by means of “Turkish Food Codex Communiqué - Amending Turkish Food Codex Communiqué on Infant Formula and Follow-on Formula”.The amendment concerns protein requirements for infant and follow-on formula manufactured from protein hydrolysates. This Communiqué will enter into force on 15 January 2025.</t>
  </si>
  <si>
    <t>Infant formula and follow-on formula</t>
  </si>
  <si>
    <t>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 190110 - Food preparations for infant use, put up for retail sale, of flour, groats, meal, starch or malt extract, not containing cocoa or containing &lt; 40% by weight of cocoa calculated on a totally defatted basis, n.e.s. and of milk, sour cream, whey, yoghourt, kefir or similar goods of heading 0401 to 0404, not containing cocoa or containing &lt; 5% by weight of cocoa calculated on a totally defatted basis, n.e.s.</t>
  </si>
  <si>
    <t>Human health; Food safety; Modification of content/scope of regulation; Human health; Food safety</t>
  </si>
  <si>
    <d:r xmlns:d="http://schemas.openxmlformats.org/spreadsheetml/2006/main">
      <d:rPr>
        <d:sz val="11"/>
        <d:rFont val="Calibri"/>
      </d:rPr>
      <d:t xml:space="preserve">https://members.wto.org/crnattachments/2024/SPS/TUR/24_07869_00_x.pdf</d:t>
    </d:r>
  </si>
  <si>
    <t>Turkish Food Codex Communiqué - Amending Turkish Food Codex Communiqué on Infant Formula and Follow-on Formula</t>
  </si>
  <si>
    <t>"Turkish Food Codex - Communiqué on Infant Formula and Follow-on Formula and Requirements on Information Relating to Infant and Young Child Feeding" was notified through G/TBT/N/TUR/120 on 19 July 2018. Three amendments for the aforementioned regulation were notified through G/TBT/N/TUR/120/Add.1 on 25 July 2019, G/TBT/N/TUR/120/Add.2 on 19 August 2022 and G/TBT/N/TUR/120/Add.3 on 28 August 2023.An amendment has been proposed by means of "Turkish Food Codex Communiqué - Amending Turkish Food Codex Communiqué on Infant Formula and Follow-on Formula".The amendment concerns protein requirements for infants and follow-on formula manufactured from protein hydrolysates.This Communiqué will enter into force on 15 January 2025.</t>
  </si>
  <si>
    <t>67.100.10 - Milk and processed milk products; 67.100.10 - Milk and processed milk products</t>
  </si>
  <si>
    <d:r xmlns:d="http://schemas.openxmlformats.org/spreadsheetml/2006/main">
      <d:rPr>
        <d:sz val="11"/>
        <d:rFont val="Calibri"/>
      </d:rPr>
      <d:t xml:space="preserve">https://members.wto.org/crnattachments/2024/TBT/TUR/modification/24_07870_00_x.pdf</d:t>
    </d:r>
  </si>
  <si>
    <t>Draft Resolution of the Cabinet of Ministers of Ukraine "On Approval of the Technical Regulation on Medical Devices"</t>
  </si>
  <si>
    <t>The draft Technical Regulation sets out rules for placing on the market, making available on the market or putting into operation of medical devices intended for human use and accessories for such devices. It also applies to clinical investigations concerning such medical devices and their accessories conducted in Ukraine. The draft  Regulation aims to remove legal, administrative and technical barriers in the field of medical devices, while ensuring the safety and efficacy of medical devices on the Ukrainian market, implementing modern European approaches to monitoring the safety and efficacy of medical devices and preventing the entry of unsafe, ineffective and counterfeit medical devices into Ukraine.This draft Regulation has been developed based on Regulation (EU) No 2017/745 of the European Parliament and of the Council of 5 April 2017 on medical devices, amending Directive 2001/83/EC, Regulation (EC) No 178/2002 and Regulation (EC) No 1223/2009 and repealing Council Directives 90/385/EEC and 93/42/EEC. </t>
  </si>
  <si>
    <t>Medical devices</t>
  </si>
  <si>
    <t>Consumer information, labelling (TBT); Protection of human health or safety (TBT); Quality requirements (TBT); Harmonization (TBT)</t>
  </si>
  <si>
    <d:r xmlns:d="http://schemas.openxmlformats.org/spreadsheetml/2006/main">
      <d:rPr>
        <d:sz val="11"/>
        <d:rFont val="Calibri"/>
      </d:rPr>
      <d:t xml:space="preserve">https://members.wto.org/crnattachments/2024/TBT/UKR/24_07866_00_x.pdf
https://members.wto.org/crnattachments/2024/TBT/UKR/24_07866_01_x.pdf
https://members.wto.org/crnattachments/2024/TBT/UKR/24_07866_02_x.pdf
https://members.wto.org/crnattachments/2024/TBT/UKR/24_07866_03_x.pdf</d:t>
    </d:r>
  </si>
  <si>
    <t>Equipment Energy Efficiency (E3) Consultation: Regulation Impact Statement forConsultation: Distribution Transformers (October 2024)</t>
  </si>
  <si>
    <t>The notified consultation document presents policy options to:Increase the Minimum Energy Performance Standards (MEPS).Widen the scope for Distribution Transformers. Three MEPS levels are considered in the consultation document. </t>
  </si>
  <si>
    <t>Electrical transformers, static converters (for example, rectifiers) and inductors; parts thereof including HS 8504</t>
  </si>
  <si>
    <t>8504 - Electrical transformers, static converters, e.g. rectifiers, and inductors; parts thereof</t>
  </si>
  <si>
    <d:r xmlns:d="http://schemas.openxmlformats.org/spreadsheetml/2006/main">
      <d:rPr>
        <d:sz val="11"/>
        <d:rFont val="Calibri"/>
      </d:rPr>
      <d:t xml:space="preserve">https://www.eeca.govt.nz/assets/EECA-Resources/Product-regulations/Regulation-Impact-Statement-for-Consultation-Distribution-Transformers.pdf</d:t>
    </d:r>
  </si>
  <si>
    <t>MAPA Ordinance No. 730, 7 November 2024.</t>
  </si>
  <si>
    <t>Ministry of Agriculture and Livestock – MAPA issued the Ordinance No. 730, 7 November 2024, that approves the Mercosur Technical Regulation on the use of starches in very high moisture cheeses.</t>
  </si>
  <si>
    <t>Cheese and curd. (HS code(s): 0406); Cheese (ICS code(s): 67.100.30)</t>
  </si>
  <si>
    <t>0406 - Cheese and curd; 0406 - Cheese and curd</t>
  </si>
  <si>
    <t>67.100.30 - Cheese; 67.100.30 - Cheese</t>
  </si>
  <si>
    <t>Draft Resolution of the Cabinet of Ministers of Ukraine “On Approval of the Technical Regulation on Ecodesign Requirements for Refrigerating Appliances with a Direct Sales Function”</t>
  </si>
  <si>
    <t xml:space="preserve">The draft Technical Regulation establishes ecodesign requirements for the placing on the market and/or operation of refrigerating appliances with a direct sales function powered by the electric grid, including appliances sold for refrigeration of items other than food products._x000D_
The draft Technical Regulation does not apply to:_x000D_
refrigerating appliances with a direct sales function that are only powered by energy sources other than electricity;_x000D_
remote components, such as condensing units, compressors or water condenser units, to which a remote cabinet needs to be connected in order to function;_x000D_
food processing refrigerating appliances with a direct sales function;_x000D_
refrigerating appliances with a direct sales function that are specially tested and approved for the storage of medicines or scientific samples;_x000D_
refrigerating appliances with a direct sales function that have no integrated system for producing cooling, and and function by ducting chilled air that is produced by an external air chiller unit; this does not include remote cabinets, as well as refrigerated vending machines of category 6, as defined in Table 5 of Annex 3;_x000D_
professional refrigerated storage cabinets, blast cabinets, condensing units and process chillers as defined in the Technical Regulation on Ecodesign Requirements for Professional Refrigerated Storage Cabinets, Intensive Cooling and Shock Freezing Chambers, Condensing Units and Refrigeration Units, approved by the Resolution of the Cabinet of Ministers of Ukraine No. 1376 of 23 December 2021;_x000D_
wine storage appliances and minibars._x000D_
The draft Technical Regulation has been developed based on Commission Regulation (EU) 2019/2024 of 1 October 2019 laying down ecodesign requirements for refrigerating appliances with a direct sales function pursuant to Directive 2009/125/EC of the European Parliament and of the Council._x000D_
</t>
  </si>
  <si>
    <t> Refrigerating appliances with a direct sales function, powered by an electric grid, including appliances sold for cooling goods</t>
  </si>
  <si>
    <t>97.040.30 - Domestic refrigerating appliances</t>
  </si>
  <si>
    <t>National security requirements (TBT); Consumer information, labelling (TBT); Protection of human health or safety (TBT); Quality requirements (TBT); Harmonization (TBT)</t>
  </si>
  <si>
    <d:r xmlns:d="http://schemas.openxmlformats.org/spreadsheetml/2006/main">
      <d:rPr>
        <d:sz val="11"/>
        <d:rFont val="Calibri"/>
      </d:rPr>
      <d:t xml:space="preserve">https://members.wto.org/crnattachments/2024/TBT/UKR/24_07833_00_x.pdf
https://members.wto.org/crnattachments/2024/TBT/UKR/24_07833_01_x.pdf
https://members.wto.org/crnattachments/2024/TBT/UKR/24_07833_02_x.pdf
https://members.wto.org/crnattachments/2024/TBT/UKR/24_07833_03_x.pdf
https://members.wto.org/crnattachments/2024/TBT/UKR/24_07833_04_x.pdf
https://members.wto.org/crnattachments/2024/TBT/UKR/24_07833_05_x.pdf
https://members.wto.org/crnattachments/2024/TBT/UKR/24_07833_06_x.pdf
https://members.wto.org/crnattachments/2024/TBT/UKR/24_07833_07_x.pdf
https://members.wto.org/crnattachments/2024/TBT/UKR/24_07833_08_x.pdf</d:t>
    </d:r>
  </si>
  <si>
    <t>Slovenia</t>
  </si>
  <si>
    <t>Regulation on the use of the 'Good Choice' symbol for easier identification of a food with a beneficial nutritional composition </t>
  </si>
  <si>
    <t xml:space="preserve">Proposal for the Regulation defines the use of the 'Good Choice' symbol for easier identification  of a food with a beneficial nutritional composition, the conditions that the food must meet when using the symbol, including its use in the media, the graphic representation of the symbol, the establishment of a list of foods bearing the symbol, the official control and the fines for infringements._x000D_
</t>
  </si>
  <si>
    <t>Food standards; Labelling; Nutrition information</t>
  </si>
  <si>
    <d:r xmlns:d="http://schemas.openxmlformats.org/spreadsheetml/2006/main">
      <d:rPr>
        <d:sz val="11"/>
        <d:rFont val="Calibri"/>
      </d:rPr>
      <d:t xml:space="preserve">https://members.wto.org/crnattachments/2024/TBT/SVN/24_07835_00_e.pdf</d:t>
    </d:r>
  </si>
  <si>
    <t>Draft Resolution of the Cabinet of Ministers of Ukraine “On Approval of the Procedure for State Registration (Reregistration) of Medicines” </t>
  </si>
  <si>
    <t xml:space="preserve">The draft Resolution of the Cabinet of Ministers of Ukraine "On Approval of the Procedure for State Registration (Reregistration) of Medicines" has been developed to establish a unified mechanism for the state registration (reregistration) of medicines, including finished medicines, immunobiological medicinal products. _x000D_
The draft Resolution proposes to approve a new Procedure for the State Registration (Reregistration) of Medicines, which provides for:_x000D_
- the procedure for the state registration (reregistration) of medicines, including finished medicines, immunobiological medicinal products, and medicinal products under obligations;_x000D_
- the mechanism for amending the registration dossier materials;_x000D_
- the procedure for making decisions on suspension, cancellation and termination of state registration of a medicine and decisions to refuse state registration of a medicine;_x000D_
- the procedure for evaluating periodically updated safety reports on medicines and making appropriate decisions;_x000D_
- the amount of fees for state registration (reregistration) of medicines and the cost of services for the evaluation of registration dossier materials.</t>
  </si>
  <si>
    <t>Prevention of deceptive practices and consumer protection (TBT); Protection of human health or safety (TBT); Harmonization (TBT)</t>
  </si>
  <si>
    <d:r xmlns:d="http://schemas.openxmlformats.org/spreadsheetml/2006/main">
      <d:rPr>
        <d:sz val="11"/>
        <d:rFont val="Calibri"/>
      </d:rPr>
      <d:t xml:space="preserve">https://members.wto.org/crnattachments/2024/TBT/UKR/24_07836_00_e.pdf
https://members.wto.org/crnattachments/2024/TBT/UKR/24_07836_00_x.pdf
https://members.wto.org/crnattachments/2024/TBT/UKR/24_07836_01_e.pdf
https://members.wto.org/crnattachments/2024/TBT/UKR/24_07836_01_x.pdf
</d:t>
    </d:r>
  </si>
  <si>
    <t>Draft BSSN Regulation On The Implementation Of The Indonesian Cryptography Algorithm And The Conformity Assessment Of The Security Of The Cryptography Module</t>
  </si>
  <si>
    <t xml:space="preserve">The regulation states that Applicant who provide Critical Information Infrastructure (CII) protection technology must meet SNI requirements for their products, evidenced by a certificate of conformity issued by Product Certification Body and obtain a letter of approval for the use of SNI conformity marks._x000D_
The product certificate on conformity marking shall be issued by a Product Certification Body which has been accredited by the National Accreditation Body of Indonesia (KAN) and appointed by the Indonesian National Cyber and Crypto Agency.</t>
  </si>
  <si>
    <t>EX 8471, EX 8517.11.00, EX 8517.13.00, EX 8517.14.00, EX 8517.62.41, EX 8517.62.51, EX 8517.69, EX 8517.79.10, EX 8517.79.21, EX 8523.21, EX 8523.29.61, EX 9901.10.00, EX 9901.20.00, EX 9901.30.00, EX 9901.40.00, EX 9901.90.00</t>
  </si>
  <si>
    <t>852329 - Magnetic media for the recording of sound or of other phenomena (excl. cards incorporating a magnetic stripe and goods of chapter 37); 852321 - Cards incorporating a magnetic stripe for the recording of sound or of other phenomena; 851779 - Parts of telephone sets, telephones for cellular networks or for other wireless networks and of other apparatus for the transmission or reception of voice, images or other data, n.e.s.; 851769 - Apparatus for the transmission or reception of voice, images or other data, incl. apparatus for communication in a wired or wireless network [such as a local or wide area network] (excl. telephone sets, telephones for cellular networks or for other wireless networks, base stations, apparatus for the reception, conversion and transmission or regeneration of voice, images or other data, and transmission or reception apparatus of heading 8443, 8525, 8527 or 8528); 851762 - Machines for the reception, conversion and transmission or regeneration of voice, images or other data, incl. switching and routing apparatus (excl. telephone sets, telephones for cellular networks or for other wireless networks); 851714 - Telephones for cellular networks or for other wireless networks (excl. line telephone sets with cordless handsets, and smartphones); 851713 - Smartphones for wireless networks</t>
  </si>
  <si>
    <t>33.050 - Telecommunication terminal equipment</t>
  </si>
  <si>
    <t>National security requirements (TBT); Prevention of deceptive practices and consumer protection (TBT)</t>
  </si>
  <si>
    <d:r xmlns:d="http://schemas.openxmlformats.org/spreadsheetml/2006/main">
      <d:rPr>
        <d:sz val="11"/>
        <d:rFont val="Calibri"/>
      </d:rPr>
      <d:t xml:space="preserve">https://members.wto.org/crnattachments/2024/TBT/IDN/24_07825_00_x.pdf</d:t>
    </d:r>
  </si>
  <si>
    <t>Regulation of Indonesian National Cyber and Crypto Agency Number 7 Year 2024 Indonesia Common Criteria For Information Technology Security Evaluation</t>
  </si>
  <si>
    <t xml:space="preserve">The regulation states that Sponsors and/or Developers who provide Critical Information Infrastructure (CII) protection technology must meet SNI requirements for their products, evidenced by a certificate of conformity issued by the Product Certification Body, and obtain a letter of approval for the use of SNI conformity marks and SCCI marks or SNI conformity marks and CC marks._x000D_
The product certificate on conformity marking shall be issued by a Product Certification Body accredited by KAN (National Accreditation Body of Indonesia) and appointed by the Indonesian National Cyber and Crypto Agency.</t>
  </si>
  <si>
    <t>EX 8471; EX 8517.11.00; EX 8517.13.00; EX 8517.14.00; EX 8517.62.41; EX 8517.62.51; EX 8517.69; EX 8517.79.10; EX 8517.79.21; EX 8523.21; EX 8523.29.61; EX 9901.10.00; EX 9901.20.00; EX 9901.30.00; EX 9901.40.00; EX 9901.90.00</t>
  </si>
  <si>
    <d:r xmlns:d="http://schemas.openxmlformats.org/spreadsheetml/2006/main">
      <d:rPr>
        <d:sz val="11"/>
        <d:rFont val="Calibri"/>
      </d:rPr>
      <d:t xml:space="preserve">https://members.wto.org/crnattachments/2024/TBT/IDN/24_07826_00_x.pdf</d:t>
    </d:r>
  </si>
  <si>
    <t>Notification of the Ministry of Public Health Re: Criteria, Methods and Conditions for Submission by Manufacturers or Importers Engaging in Sale of Cigarette Products in the Kingdom B.E. 2567 (2024)</t>
  </si>
  <si>
    <t>This addendum is to inform that this Notification of the Ministry of Public Health mandates cigarette product manufacturers or importers engaging in sale of cigarette products must prepare and submit information under Article 40 of Tobacco Products Control Act B.E. 2560 (2017) to the National Tobacco Products Control Committee as follows: 1. Manufacturers or importers engaging in sale of cigarette products must submit information by 30 June of the following year. 2. Manufacturers or importers engaging in sale of cigarette products must submit information according to Ror Khor Sor. 1 form. 3. Manufacturers or importers engaging in sale of cigarette products must submit information via one of the following methods:   a. Direct submission to the Department of Disease Control (DDC), whereby receipt registration date is considered as information submission date;   b. Registered postal mail, whereby postal stamp date is considered as information submission date;   c. Electronic mail, whereby the date information is entered into the electronic mail of the DDC is considered as information submission date;   d. Any other method prescribed by the DDC.</t>
  </si>
  <si>
    <t>Tobacco Products</t>
  </si>
  <si>
    <t>24 - TOBACCO AND MANUFACTURED TOBACCO SUBSTITUTES; 24 - TOBACCO AND MANUFACTURED TOBACCO SUBSTITUTES</t>
  </si>
  <si>
    <d:r xmlns:d="http://schemas.openxmlformats.org/spreadsheetml/2006/main">
      <d:rPr>
        <d:sz val="11"/>
        <d:rFont val="Calibri"/>
      </d:rPr>
      <d:t xml:space="preserve">https://members.wto.org/crnattachments/2024/TBT/THA/final_measure/24_07827_00_x.pdf
https://ratchakitcha.soc.go.th/documents/45918.pdf</d:t>
    </d:r>
  </si>
  <si>
    <t>Proposed Maximum Residue Limit: Flonicamid (PMRL2024-24)</t>
  </si>
  <si>
    <t>The objective of the notified document PMRL2024-24 is to consult on the listed maximum residue limits (MRLs) for flonicamid that have been proposed by Health Canada's Pest Management Regulatory Agency (PMRA).MRL (ppm)1 Raw Agricultural Commodity (RAC) and/or Processed Commodity50               Bok choy Chinese cabbages, watercress40               Herbs dried leaves (crop subgroup 25B)216               Maca, turnip greens8.0              Leaf lettuce7.0              Herbs fresh leaves (crop subgroup 25A)31.5             Bushberries (crop subgroup 13-07B)40.4              Sweet corn (crop subgroup 15-21D)1 ppm = parts per million2 The established MRL of 7.0 ppm on dried peppermint leaves and dried spearmint leaves will be replaced by a single crop subgroup MRL of 40 ppm for herbs dried leaves (crop subgroup 25B).3 The established MRLs of 7.0 ppm on fresh peppermint leaves and fresh spearmint leaves will be replaced by a single crop subgroup MRL of 7.0 ppm for herbs fresh leaves (crop subgroup 25A).4 The established 1.5 ppm MRLs for lowbush blueberries and lingonberries will be replaced by a single crop subgroup MRL of 1.5 ppm for bushberries (crop subgroup 13-07B).The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</si>
  <si>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flonicamid in or on various commodities (ICS Codes: 65.020, 65.100, 67.040, 67.060, 67.080, 67.220)  </t>
  </si>
  <si>
    <t>65.020 - Farming and forestry; 65.100 - Pesticides and other agrochemicals; 67.040 - Food products in general; 67.060 - Cereals, pulses and derived products; 67.080 - Fruits. Vegetables; 67.220 - Spices and condiments. Food additives</t>
  </si>
  <si>
    <t>Standards for Pesticide Residue Limits in Foods and Standards for Pesticide Residue Limits in Animal Products</t>
  </si>
  <si>
    <t>The Separate Customs Territory of Taiwan, Penghu, Kinmen, and Matsu proposed to revise the "Pesticide Residue Limit Standards in Food" and "Pesticide Residue Limit Standards in Animal Products" on 15 August 2024 (G/SPS/N/TPKM/631). The final amendments take effect on 18 November 2024.</t>
  </si>
  <si>
    <t>Fruits, vegetables, cereal grains, dry beans, cereal grains, tree nuts, herbs, cocoa bean, coffee bean, hops and tea, livestock and poultry tissue, edible offal, eggs, and milk.</t>
  </si>
  <si>
    <t>02 - MEAT AND EDIBLE MEAT OFFAL; 0407 - Birds' eggs, in shell, fresh, preserved or cooked; 0407 - Birds' eggs, in shell, fresh, preserved or cooked; 02 - MEAT AND EDIBLE MEAT OFFAL</t>
  </si>
  <si>
    <t>Food safety; Human health; Maximum residue limits (MRLs); Adoption/publication/entry into force of reg.; Food safety; Human health; Maximum residue limits (MRLs)</t>
  </si>
  <si>
    <d:r xmlns:d="http://schemas.openxmlformats.org/spreadsheetml/2006/main">
      <d:rPr>
        <d:sz val="11"/>
        <d:rFont val="Calibri"/>
      </d:rPr>
      <d:t xml:space="preserve">https://members.wto.org/crnattachments/2024/SPS/TPKM/24_07824_00_e.pdf
https://members.wto.org/crnattachments/2024/SPS/TPKM/24_07824_01_e.pdf
https://members.wto.org/crnattachments/2024/SPS/TPKM/24_07824_00_x.pdf
https://members.wto.org/crnattachments/2024/SPS/TPKM/24_07824_01_x.pdf</d:t>
    </d:r>
  </si>
  <si>
    <t>Malawi</t>
  </si>
  <si>
    <t>DMS 746:2017, Comminuted fruit drinks – Specification</t>
  </si>
  <si>
    <t>This draft Malawi standard specifies the requirements, methods of sampling and test for comminuted fruit drinks intended for human consumption</t>
  </si>
  <si>
    <t>(HS code(s): 22); (ICS code(s): 67.160.20)</t>
  </si>
  <si>
    <t>22 - BEVERAGES, SPIRITS AND VINEGAR</t>
  </si>
  <si>
    <t>67.160.20 - Non-alcoholic beverages</t>
  </si>
  <si>
    <d:r xmlns:d="http://schemas.openxmlformats.org/spreadsheetml/2006/main">
      <d:rPr>
        <d:sz val="11"/>
        <d:rFont val="Calibri"/>
      </d:rPr>
      <d:t xml:space="preserve">https://members.wto.org/crnattachments/2024/TBT/MWI/24_07804_00_e.pdf</d:t>
    </d:r>
  </si>
  <si>
    <t>DMS 210-1:2024, Spirits – Specification Part 1: Neutral spirit</t>
  </si>
  <si>
    <t>This draft Malawi standard specifies the requirements, methods of sampling and test for neutral spirit intended for use in the manufacture or blending of alcoholic beverages. This product is also known as Extra Neutral Spirit (ENS).</t>
  </si>
  <si>
    <t>(HS code(s): 22); (ICS code(s): 67.160.10)</t>
  </si>
  <si>
    <d:r xmlns:d="http://schemas.openxmlformats.org/spreadsheetml/2006/main">
      <d:rPr>
        <d:sz val="11"/>
        <d:rFont val="Calibri"/>
      </d:rPr>
      <d:t xml:space="preserve">https://members.wto.org/crnattachments/2024/TBT/MWI/24_07797_00_e.pdf</d:t>
    </d:r>
  </si>
  <si>
    <t>The DLD order on temporary suspension of importation or transit of live domestic pigs and wild pigs and their carcasses from the Philippines to prevent the spread of African Swine Fever</t>
  </si>
  <si>
    <t>The WOAH has reported an outbreak of African Swine Fever (ASF) in the area of the Philippines. Therefore, it is necessary for Thailand to prevent the entry of African Swine Fever disease into the country. By the virtue of the Animal Epidemics Act B.E. 2558 (2015), the importation or transit of live domestic pigs, wild pigs, and their carcasses from the Philippines has been temporarily suspended.  </t>
  </si>
  <si>
    <t>Live domestic pigs and wild pigs and their carcasses under Animal Epidemics Act B.E. 2558 (2015)</t>
  </si>
  <si>
    <t>020321 - Frozen carcases and half-carcases of swine; 020311 - Fresh or chilled carcases and half-carcases of swine; 0103 - Live swine</t>
  </si>
  <si>
    <t>Animal health; Animal diseases; African swine fever (ASF)</t>
  </si>
  <si>
    <t>Amendments to the Preservatives in Food Regulation (Cap. 132BD)</t>
  </si>
  <si>
    <t>Hong Kong, China notified in G/SPS/N/HKG/48 dated 26 May 2023 a consultation document on the Proposed Amendments to the Preservatives in Food Regulation (Cap. 132BD, Laws of Hong Kong, China), which mainly involves updating the definitions of "preservative" and "antioxidant", the list of permitted preservatives and antioxidants as well as the maximum permitted levels of such permitted preservatives and antioxidants in specified food. The proposed amendments were incorporated in the Preservatives in Food (Amendment) Regulation 2024 ("Amendment Regulation") which was gazetted on 10 October 2024 and tabled in the Legislative Council on 16 October 2024 for negative vetting.This addendum notifies that the Amendment Regulation will come into operation on 30 December 2024. The commencement will be followed by the 24-month transitional period, which will end on 29 December 2026. During the transitional period, it would be legal for any single food item to comply fully with either the updated standards or the ones immediately in force before the commencement date. After the end of the transitional period, the requirements of the Amendment Regulation must be fully complied with.</t>
  </si>
  <si>
    <d:r xmlns:d="http://schemas.openxmlformats.org/spreadsheetml/2006/main">
      <d:rPr>
        <d:sz val="11"/>
        <d:rFont val="Calibri"/>
      </d:rPr>
      <d:t xml:space="preserve">Full text of the Preservatives in Food (Amendment) Regulation 2024 can be downloaded from the following websites:
In English
https://www.gld.gov.hk/egazette/english/gazette/file.php?year=2024&amp;vol=28&amp;no=41&amp;extra=0&amp;type=2&amp;number=130
In Chinese
https://www.gld.gov.hk/egazette/tc_chi/gazette/file.php?year=2024&amp;vol=28&amp;no=41&amp;extra=0&amp;type=2&amp;number=130</d:t>
    </d:r>
  </si>
  <si>
    <t>DMS 1431:2024, Malt drink – Specification</t>
  </si>
  <si>
    <t>This draft Malawi standard specifies the requirements and the methods of sampling and test for malt drinks.</t>
  </si>
  <si>
    <d:r xmlns:d="http://schemas.openxmlformats.org/spreadsheetml/2006/main">
      <d:rPr>
        <d:sz val="11"/>
        <d:rFont val="Calibri"/>
      </d:rPr>
      <d:t xml:space="preserve">https://members.wto.org/crnattachments/2024/TBT/MWI/24_07809_00_e.pdf</d:t>
    </d:r>
  </si>
  <si>
    <t>DMS 210-8:2024, Spirits – Specification Part 8: Potable spirit</t>
  </si>
  <si>
    <t>This draft Malawi standard specifies the requirements, method of sampling and test for for potable spirits.</t>
  </si>
  <si>
    <d:r xmlns:d="http://schemas.openxmlformats.org/spreadsheetml/2006/main">
      <d:rPr>
        <d:sz val="11"/>
        <d:rFont val="Calibri"/>
      </d:rPr>
      <d:t xml:space="preserve">https://members.wto.org/crnattachments/2024/TBT/MWI/24_07803_00_e.pdf</d:t>
    </d:r>
  </si>
  <si>
    <t>Commission Regulation (EU) 2024/2858 of 12 November 2024 amending Regulation (EU) 2019/1871 as regards the application of reference points for action for nitrofurans and their metabolites in collagen (Text with EEA relevance)</t>
  </si>
  <si>
    <t>Regulation (EU) 2019/1871 establishes reference points for action (RPA) for certain non-allowed pharmacologically active substances present in food of animal origin.The illegal treatment of food by nitrofurans and their metabolites results in findings of several metabolites present in one sample. Based on the available information, the presence of the nitrofuran metabolite semicarbazide (SEM) in certain processed products (gelatine, collagen hydrolysate, hydrolysed cartilage products, spray dried blood products, whey and milk protein concentrates, caseinates and milk powder) may arise during processing from naturally occurring compounds and is not related to an illegal treatment by nitrofurans. These foods, with the exception of infant formulae and follow-on formulae, are therefore exempted from the application of the RPA to findings where only SEM is present in these processed products. If other nitrofuran metabolites would be present in the sample, together with SEM, the exemption would not be applicable. Evidence has been provided that SEM is also formed during the production of collagen, therefore collagen is added to the exempted products.</t>
  </si>
  <si>
    <t>Food of animal origin</t>
  </si>
  <si>
    <d:r xmlns:d="http://schemas.openxmlformats.org/spreadsheetml/2006/main">
      <d:rPr>
        <d:sz val="11"/>
        <d:rFont val="Calibri"/>
      </d:rPr>
      <d:t xml:space="preserve">https://members.wto.org/crnattachments/2024/SPS/EEC/24_07820_00_e.pdf
https://members.wto.org/crnattachments/2024/SPS/EEC/24_07820_00_f.pdf
https://members.wto.org/crnattachments/2024/SPS/EEC/24_07820_00_s.pdf</d:t>
    </d:r>
  </si>
  <si>
    <t>DMS 1444:2017, Vegetable juices and drinks – Specification</t>
  </si>
  <si>
    <t>This draft Malawi standard specifies requirements, methods of sampling and test for vegetable juices and drinks intended for direct human consumption or for further processing</t>
  </si>
  <si>
    <t>22 - BEVERAGES, SPIRITS AND VINEGAR; 2009 - Fruit juices, incl. grape must, and vegetable juices, unfermented, not containing added spirit, whether or not containing added sugar or other sweetening matter</t>
  </si>
  <si>
    <d:r xmlns:d="http://schemas.openxmlformats.org/spreadsheetml/2006/main">
      <d:rPr>
        <d:sz val="11"/>
        <d:rFont val="Calibri"/>
      </d:rPr>
      <d:t xml:space="preserve">https://members.wto.org/crnattachments/2024/TBT/MWI/24_07812_00_e.pdf</d:t>
    </d:r>
  </si>
  <si>
    <t>DMS 1439:2024, Ginger drink – Specification</t>
  </si>
  <si>
    <t>This draft Malawi standard specifies requirements and methods of sampling and tests for ginger drink for direct human consumption. Ginger drink that is carbonated or alcoholic is excluded from the scope of this standard.</t>
  </si>
  <si>
    <d:r xmlns:d="http://schemas.openxmlformats.org/spreadsheetml/2006/main">
      <d:rPr>
        <d:sz val="11"/>
        <d:rFont val="Calibri"/>
      </d:rPr>
      <d:t xml:space="preserve">https://members.wto.org/crnattachments/2024/TBT/MWI/24_07811_00_e.pdf</d:t>
    </d:r>
  </si>
  <si>
    <t>DMS 2065:2024, Freezits – Specification</t>
  </si>
  <si>
    <t>This draft Malawi standard specifies requirements, methods of sampling and test for freezits intended for direct consumption</t>
  </si>
  <si>
    <d:r xmlns:d="http://schemas.openxmlformats.org/spreadsheetml/2006/main">
      <d:rPr>
        <d:sz val="11"/>
        <d:rFont val="Calibri"/>
      </d:rPr>
      <d:t xml:space="preserve">https://members.wto.org/crnattachments/2024/TBT/MWI/24_07815_00_e.pdf</d:t>
    </d:r>
  </si>
  <si>
    <t>DMS 2139:2024, Roselle (Chidede)non-alcoholic drink – Specification</t>
  </si>
  <si>
    <t>This draft Malawi standard specifies requirements and methods of sampling and tests for roselle (hibiscus) non-alcoholic drink or Chidede drink (juice).</t>
  </si>
  <si>
    <d:r xmlns:d="http://schemas.openxmlformats.org/spreadsheetml/2006/main">
      <d:rPr>
        <d:sz val="11"/>
        <d:rFont val="Calibri"/>
      </d:rPr>
      <d:t xml:space="preserve">https://members.wto.org/crnattachments/2024/TBT/MWI/24_07816_00_e.pdf</d:t>
    </d:r>
  </si>
  <si>
    <t>Proyecto de Resolución para regular la importación de frutos de Limón persa (Citrus x latifolia) para consumo fresco originarios de Chile (Draft Resolution regulating the importation of fresh Persian limes (Citrus x latifolia), for consumption, originating in Chile)</t>
  </si>
  <si>
    <t>The notified draft Resolution establishes phytosanitary measures for the importation of fresh Persian limes (Citrus x latifolia), for consumption, originating in Chile.</t>
  </si>
  <si>
    <t>Fresh limes (Citrus x latifolia) (HS code: 080550)</t>
  </si>
  <si>
    <d:r xmlns:d="http://schemas.openxmlformats.org/spreadsheetml/2006/main">
      <d:rPr>
        <d:sz val="11"/>
        <d:rFont val="Calibri"/>
      </d:rPr>
      <d:t xml:space="preserve">https://members.wto.org/crnattachments/2024/SPS/CRI/24_07780_00_s.pdf</d:t>
    </d:r>
  </si>
  <si>
    <t>Draft Amendments to the Attachment 1 of Article 3, the Attachment 2 of Article 6 and the Attachment 3 of Article 17 of the "Regulations Governing Border Inspection and Examination of Imported Medical Device</t>
  </si>
  <si>
    <t>In response to the amendments to the Tariff Codes, and the “Fee-Charging Standards for Lot Release, Reference Materials, and Testing of Foods, Drugs and Cosmetics,” Attachment 1 to Attachment 3 of the "Regulations for the Inspection and Examination of Imported Medical Devices" are proposed to be modified based on the current situation.</t>
  </si>
  <si>
    <t>Diagnostic or laboratory reagents on a backing, prepared diagnostic or laboratory reagents whether or not on a backing, whether or not put up in the form of kits (excl.those of heading 3006); certified reference materials (HS code(s): 3822)</t>
  </si>
  <si>
    <t>3822 - Diagnostic or laboratory reagents on a backing, prepared diagnostic or laboratory reagents whether or not on a backing, whether or not put up in the form of kits (excl.those of heading 3006); certified reference materials</t>
  </si>
  <si>
    <d:r xmlns:d="http://schemas.openxmlformats.org/spreadsheetml/2006/main">
      <d:rPr>
        <d:sz val="11"/>
        <d:rFont val="Calibri"/>
      </d:rPr>
      <d:t xml:space="preserve">https://members.wto.org/crnattachments/2024/TBT/TPKM/24_07782_00_e.pdf
https://members.wto.org/crnattachments/2024/TBT/TPKM/24_07782_00_x.pdf</d:t>
    </d:r>
  </si>
  <si>
    <t>The DLD order on temporary suspension of importation or transit of live domestic pigs and wild pigs and their carcasses from Indonesia to prevent the spread of African Swine Fever</t>
  </si>
  <si>
    <t>The WOAH has reported an outbreak of African Swine Fever (ASF) in the area of Indonesia. Therefore, it is necessary for Thailand to prevent the entry of African Swine Fever disease into the country. By the virtue of the Animal Epidemics Act B.E. 2558 (2015), the importation or transit of live domestic pigs, wild pigs, and their carcasses from Indonesia has been temporarily suspended.</t>
  </si>
  <si>
    <t>The DLD order on temporary suspension of importation or transit of live poultry and poultry carcasses from India to prevent the spread of Highly Pathogenic Avian Influenza (Subtype H5N1)</t>
  </si>
  <si>
    <t>The WOAH has reported an outbreak of Highly Pathogenic Avian Influenza (Subtype H5N1) in the area of India. Therefore, it is necessary for Thailand to prevent the entry of Highly Pathogenic Avian Influenza (Subtype H5N1) into the country. By the virtue of the Animal Epidemics Act B.E. 2558 (2015), the importation or transit of live poultry and poultry carcasses from India has been temporarily suspended.  </t>
  </si>
  <si>
    <t>The DLD order on temporary suspension of importation or transit of live poultry and poultry carcasses from the Philippines to prevent the spread of Highly Pathogenic Avian Influenza (Subtype H5N1)</t>
  </si>
  <si>
    <t>The WOAH has reported an outbreak of Highly Pathogenic Avian Influenza (Subtype H5N1) in the area of the Philippines. Therefore, it is necessary for Thailand to prevent the entry of Highly Pathogenic Avian Influenza (Subtype H5N1) into  the country. By the virtue of the Animal Epidemics Act B.E. 2558 (2015), the importation or transit of live poultry and poultry carcasses from the Philippines has been temporarily suspended.</t>
  </si>
  <si>
    <t>Live poultry and poultry carcasses under Animal Epidemics Act B.E. 2558 (2015)</t>
  </si>
  <si>
    <t>The DLD order on temporary suspension of  the importation or transit of live poultry and poultry carcasses from Hungary to prevent the spread of Highly Pathogenic Avian Influenza (Subtype H5N1)</t>
  </si>
  <si>
    <t>The WOAH has reported an outbreak of Highly Pathogenic Avian Influenza (Subtype H5N1) in Békés, Csongrád-Csanád, Jász-Nagykun-Szolnok, Fejér, Hajdú-Bihar and Bács-Kiskun of Hungary. Therefore, it is necessary for Thailand to prevent the entry of Highly Pathogenic Avian Influenza (Subtype H5N1) into the country. By the virtue of the Animal Epidemics Act B.E. 2558 (2015), the importation or transit of live poultry and poultry carcasses from Békés, Csongrád-Csanád, Jász-Nagykun-Szolnok, Fejér, Hajdú-Bihar and Bács-Kiskun of Hungary has been temporarily suspended.  </t>
  </si>
  <si>
    <t>Live poultry and poultry carcasses under Animal Epidemics Act B.E. 2558 (2015).</t>
  </si>
  <si>
    <t>Hungary</t>
  </si>
  <si>
    <t>DMS 210-4:2024, Spirits – Specification Part 4: Whisky</t>
  </si>
  <si>
    <t>This draft Malawi standard specifies the requirements, method of sampling and test for whisky (whiskey).</t>
  </si>
  <si>
    <d:r xmlns:d="http://schemas.openxmlformats.org/spreadsheetml/2006/main">
      <d:rPr>
        <d:sz val="11"/>
        <d:rFont val="Calibri"/>
      </d:rPr>
      <d:t xml:space="preserve">https://members.wto.org/crnattachments/2024/TBT/MWI/24_07819_00_e.pdf</d:t>
    </d:r>
  </si>
  <si>
    <t>DMS 211:2024, Carbon dioxide for beverage industry – Specification</t>
  </si>
  <si>
    <t>This draft Malawi standard specifies the requirements, methods of sampling and tests for carbon dioxide used for the carbonation of beverages.</t>
  </si>
  <si>
    <t>(HS code(s): 29); (ICS code(s): 67.160.01)</t>
  </si>
  <si>
    <t>29 - ORGANIC CHEMICALS</t>
  </si>
  <si>
    <t>67.160.01 - Beverages in general</t>
  </si>
  <si>
    <d:r xmlns:d="http://schemas.openxmlformats.org/spreadsheetml/2006/main">
      <d:rPr>
        <d:sz val="11"/>
        <d:rFont val="Calibri"/>
      </d:rPr>
      <d:t xml:space="preserve">https://members.wto.org/crnattachments/2024/TBT/MWI/24_07808_00_e.pdf</d:t>
    </d:r>
  </si>
  <si>
    <t>DMS 210-5:2024, Spirits – Specification Part 5: Vodka</t>
  </si>
  <si>
    <t>This draft Malawi standard specifies the requirements, method of sampling and test for vodka.</t>
  </si>
  <si>
    <t>22 - BEVERAGES, SPIRITS AND VINEGAR; 220860 - Vodka</t>
  </si>
  <si>
    <d:r xmlns:d="http://schemas.openxmlformats.org/spreadsheetml/2006/main">
      <d:rPr>
        <d:sz val="11"/>
        <d:rFont val="Calibri"/>
      </d:rPr>
      <d:t xml:space="preserve">https://members.wto.org/crnattachments/2024/TBT/MWI/24_07800_00_e.pdf</d:t>
    </d:r>
  </si>
  <si>
    <t>Order Imposing Conditions in Relation to Secondary Control Zones In Respect of African Swine Fever</t>
  </si>
  <si>
    <t>The Canadian Food Inspection Agency (CFIA) has implemented new import requirements for select feed ingredients imported from countries identified as posing a potential concern with respect to African Swine Fever (ASF). The identified products will require an import permit prior to importation from the specified countries and the conditions in the implementing order and the import permit will need to be met. These conditions may include certification of origin, heat treatment and/or hold times (depending on the product in question) designed to mitigate the risk of contamination of these products with the African Swine Fever virus.Canada has amended the list of regions or countries likely to be affected by this measure to add Sri Lanka. The updated list is noted below:Regions or countries likely to be affected, to the extent relevant or practicable:[ ]     All trading partners[X]    Specific regions or countries: Albania; Bangladesh; Benin; Bosnia and Herzegovina; Bulgaria*; Burkina Faso; Burundi; Cabo Verde; Cambodia; Cameroon; Central African Republic; Chad; China; Congo; Côte d'Ivoire; Croatia; Czech Republic*; Dominican Republic; Estonia*; The Gambia; Germany*; Ghana; Greece*; Guinea-Bissau; Haiti; Hong Kong, China; Hungary*; India; Indonesia; Italy*; Kenya; Lao People's Democratic Republic; Latvia*; Lithuania*; Madagascar; Malawi; Malaysia; Republic of Moldova; Mongolia; Montenegro; Mozambique; Myanmar; Namibia; Nepal; Nigeria; Papua New Guinea; Philippines; Poland*; Republic of Korea; Republic of North Macedonia; Romania*; Russian Federation; Rwanda; Senegal; Serbia; Sierra Leone; Singapore; Slovak Republic*; South Africa; Sri Lanka; Sweden*; Tanzania; Thailand; Togo; Ukraine; Viet Nam; Zambia; Zimbabwe* denotes recognition of regionalization.</t>
  </si>
  <si>
    <t>Raw/unprocessed grains and their associated meals. Implicated HS codes:Chapter 1010 01 19 Durum wheat: Other; 10 01 99 Wheat and meslin: Other ;10 02 90 Rye: Other; 10 03 90 Barley: Other; 10 04 90 Oats: Other; 10 05 90 Maize (corn): Other; 10 06 10 Rice in the husk (paddy or rough); 10 07 90 Grain sorghum: Other; 10 08 10 Buckwheat; 10 08 60 TriticaleChapter 11All commoditiesChapter 1212 01 90 Soya beans, whether or not broken: Other; 12 04 00 Linseed, whether or not broken; 12 05 10 Low erucic acid rape or colza seeds; 12 05 90 Other; 12 06 00 Sunflower seeds; 12 07 60 Safflower (Carthamus tinctorius) seeds; 12 07 99 Other: Other; 12 08 Flours and meals of oil seeds or oleaginous fruits, other than those of mustardChapter 2323 02 Brans, sharps, and other residues derived from cereals or leguminous plants; 23 03 10 Residues of starch manufacture and similar residues; 23 04 Oil-cake and other solid residues from extraction of soya-bean oil; 23 06 oil cake and other solid residues from extraction of vegetable fats or oils; 23 06 10 Of cotton seeds; 23 06 20 Of linseed; 23 06 30 Of sunflower seeds; 23 06 41 Of rape or colza seeds (low erucic acid); 23 06 49 Of rape or colza seeds (other); 23 06 90 Other; 23 09 90 Other (select commodities)</t>
  </si>
  <si>
    <t>1001 - Wheat and meslin; 230649 - Oilcake and other solid residues, whether or not ground or in the form of pellets, resulting from the extraction of high erucic acid rape or colza seeds "yielding a fixed oil which has an erucic acid content of &gt;= 2% and yielding a solid component of glucosinolates of &gt;= 30 micromoles/g"; 230641 - Oilcake and other solid residues, whether or not ground or in the form of pellets, resulting from the extraction of low erucic acid rape or colza seeds "yielding a fixed oil which has an erucic acid content of &lt; 2% and yielding a solid component of glucosinolates of &lt; 30 micromoles/g"; 230630 - Oilcake and other solid residues, whether or not ground or in the form of pellets, resulting from the extraction of sunflower seeds; 230620 - Oilcake and other solid residues, whether or not ground or in the form of pellets, resulting from the extraction of linseed; 230610 - Oilcake and other solid residues, whether or not ground or in the form of pellets, resulting from the extraction of cotton seeds; 2306 - Oilcake and other solid residues, whether or not ground or in the form of pellets, resulting from the extraction of vegetable fats or oils (excl. from soya-bean oil and groundnut oil); 2304 - Oil-cake and other solid residues, whether or not ground or in the form of pellets, resulting from the extraction of soyabean oil.; 230310 - Residues of starch manufacture and similar residues; 2302 - Bran, sharps and other residues, whether or not in the form of pellets, derived from the sifting, milling or other working of cereals or of leguminous plants; 1208 - Flours and meals of oil seeds or oleaginous fruits (excl. mustard); 120799 - Oil seeds and oleaginous fruits, whether or not broken (excl. edible nuts, olives, soya beans, groundnuts, copra, linseed, rape or colza seeds, sunflower seeds, cotton, sesamum, mustard and poppy seeds); 1207 - Other oil seeds and oleaginous fruits, whether or not broken (excl. edible nuts, olives, soya beans, groundnuts, copra, linseed, rape or colza seeds and sunflower seeds); 230690 - Oilcake and other solid residues, whether or not ground or in the form of pellets, resulting from the extraction of vegetable fats or oils (excl. of cotton seeds, linseed, sunflower seeds, rape or colza seeds, coconut or copra, palm nuts or kernels, or from the extraction of soya-bean oil or groundnut oil); 1206 - Sunflower seeds, whether or not broken.; 120510 - Low erucic acid rape or colza seeds "yielding a fixed oil which has an erucic acid content of &lt; 2% and yielding a solid component of glucosinolates of &lt; 30 micromoles/g"; 1204 - Linseed, whether or not broken.; 1201 - Soya beans, whether or not broken.; 11 - PRODUCTS OF THE MILLING INDUSTRY; MALT; STARCHES; INULIN; WHEAT GLUTEN; 100810 - Buckwheat; 1008 - Buckwheat, millet, canary seed and other cereals (excl. wheat and meslin, rye, barley, oats, maize, rice and grain sorghum); 1007 - Grain sorghum.; 100610 - Rice in the husk, "paddy" or rough; 100590 - Maize (excl. seed); 1004 - Oats.; 1003 - Barley.; 1002 - Rye.; 120590 - High erucic rape or colza seeds "yielding a fixed oil which has an erucic acid content of &gt;= 2% and yielding a solid component of glucosinolates of &gt;= 30 micromoles/g", whether or not broken; 230990 - Preparations of a kind used in animal feeding (excl. dog or cat food put up for retail sale); 230620 - Oil-cake and other solid residues, whether or not ground or in the form of pellets, resulting from the extraction of linseed; 230990 - Preparations of a kind used in animal feeding (excl. dog or cat food put up for retail sale); 1003 - Barley.; 1004 - Oats.; 1008 - Buckwheat, millet, canary seed and other cereals (excl. wheat and meslin, rye, barley, oats, maize, rice and grain sorghum); 1201 - Soya beans, whether or not broken.; 11 - PRODUCTS OF THE MILLING INDUSTRY; MALT; STARCHES; INULIN; WHEAT GLUTEN; 1206 - Sunflower seeds, whether or not broken.; 1208 - Flours and meals of oil seeds or oleaginous fruits (excl. mustard); 2306 - Oilcake and other solid residues, whether or not ground or in the form of pellets, resulting from the extraction of vegetable fats or oils (excl. from soya-bean oil and groundnut oil); 100810 - Buckwheat; 2302 - Bran, sharps and other residues, whether or not in the form of pellets, derived from the sifting, milling or other working of cereals or of leguminous plants; 100590 - Maize (excl. seed); 1204 - Linseed, whether or not broken.; 120799 - Oil seeds and oleaginous fruits, whether or not broken (excl. edible nuts, olives, soya beans, groundnuts, copra, linseed, rape or colza seeds, sunflower seeds, cotton, sesamum, mustard and poppy seeds); 100610 - Rice in the husk, "paddy" or rough; 1001 - Wheat and meslin; 1007 - Grain sorghum.; 1207 - Other oil seeds and oleaginous fruits, whether or not broken (excl. edible nuts, olives, soya beans, groundnuts, copra, linseed, rape or colza seeds and sunflower seeds); 230310 - Residues of starch manufacture and similar residues; 230630 - Oilcake and other solid residues, whether or not ground or in the form of pellets, resulting from the extraction of sunflower seeds; 230641 - Oilcake and other solid residues, whether or not ground or in the form of pellets, resulting from the extraction of low erucic acid rape or colza seeds "yielding a fixed oil which has an erucic acid content of &lt; 2% and yielding a solid component of glucosinolates of &lt; 30 micromoles/g"; 1002 - Rye.; 120510 - Low erucic acid rape or colza seeds "yielding a fixed oil which has an erucic acid content of &lt; 2% and yielding a solid component of glucosinolates of &lt; 30 micromoles/g"; 120590 - High erucic rape or colza seeds "yielding a fixed oil which has an erucic acid content of &gt;= 2% and yielding a solid component of glucosinolates of &gt;= 30 micromoles/g", whether or not broken; 2304 - Oil-cake and other solid residues, whether or not ground or in the form of pellets, resulting from the extraction of soyabean oil.; 230620 - Oilcake and other solid residues, whether or not ground or in the form of pellets, resulting from the extraction of linseed; 230610 - Oilcake and other solid residues, whether or not ground or in the form of pellets, resulting from the extraction of cotton seeds; 230990 - Preparations of a kind used in animal feeding (excl. dog or cat food put up for retail sale); 230310 - Residues of starch manufacture and similar residues; 1204 - Linseed, whether or not broken; 100610 - Rice in the husk, "paddy" or rough; 230610 - Oil-cake and other solid residues, whether or not ground or in the form of pellets, resulting from the extraction of cotton seeds; 2302 - Bran, sharps and other residues, whether or not in the form of pellets, derived from the sifting, milling or other working of cereals or of leguminous plants; 1002 - Rye; 100810 - Buckwheat; 120510 - Low erucic acid rape or colza seeds "yielding a fixed oil which has an erucic acid content of &lt; 2% and yielding a solid component of glucosinolates of &lt; 30 micromoles/g"; 120590 - High erucic rape or colza seeds "yielding a fixed oil which has an erucic acid content of &gt;= 2% and yielding a solid component of glucosinolates of &gt;= 30 micromoles/g", whether or not broken; 2304 - Oil-cake and other solid residues, whether or not ground or in the form of pellets, resulting from the extraction of soya-bean oil; 230649 - Oil-cake and other solid residues, whether or not ground or in the form of pellets, resulting from the extraction of high erucic acid rape or colza seeds "yielding a fixed oil which has an erucic acid content of &gt;= 2% and yielding a solid component of glucosinolates of &gt;= 30 micromoles/g"; 230690 - Oil-cake and other solid residues, whether or not ground or in the form of pellets, resulting from the extraction of vegetable fats or oils (excl. of cotton seeds, linseed, sunflower seeds, rape or colza seeds, coconut or copra, palm nuts or kernels, maize "corn" germ, or from the extraction of soya-bean oil or ground-nut oil); 11 - PRODUCTS OF THE MILLING INDUSTRY; MALT; STARCHES; INULIN; WHEAT GLUTEN; 230649 - Oilcake and other solid residues, whether or not ground or in the form of pellets, resulting from the extraction of high erucic acid rape or colza seeds "yielding a fixed oil which has an erucic acid content of &gt;= 2% and yielding a solid component of glucosinolates of &gt;= 30 micromoles/g"; 2306 - Oil-cake and other solid residues, whether or not ground or in the form of pellets, resulting from the extraction of vegetable fats or oils (excl. from soya-bean oil and ground-nut oil); 100590 - Maize (excl. seed); 120799 - Oil seeds and oleaginous fruits, whether or not broken (excl. edible nuts, olives, soya beans, ground-nuts, copra, linseed, rape or colza seeds, sunflower seeds, palm nuts and kernels, cotton, castor oil, sesamum, mustard, safflower and poppy seeds); 230630 - Oil-cake and other solid residues, whether or not ground or in the form of pellets, resulting from the extraction of sunflower seeds; 230641 - Oil-cake and other solid residues, whether or not ground or in the form of pellets, resulting from the extraction of low erucic acid rape or colza seeds "yielding a fixed oil which has an erucic acid content of &lt; 2% and yielding a solid component of glucosinolates of &lt; 30 micromoles/g"; 1003 - Barley; 1004 - Oats; 1201 - Soya beans, whether or not broken; 1206 - Sunflower seeds, whether or not broken; 1208 - Flours and meals of oil seeds or oleaginous fruits (excl. mustard); 1007 - Grain sorghum; 1008 - Buckwheat, millet, canary seed and other cereals (excl. wheat and meslin, rye, barley, oats, maize, rice and grain sorghum); 1207 - Other oil seeds and oleaginous fruits, whether or not broken (excl. edible nuts, olives, soya beans, ground-nuts, copra, linseed, rape or colza seeds and sunflower seeds); 1001 - Wheat and meslin; 230690 - Oilcake and other solid residues, whether or not ground or in the form of pellets, resulting from the extraction of vegetable fats or oils (excl. of cotton seeds, linseed, sunflower seeds, rape or colza seeds, coconut or copra, palm nuts or kernels, or from the extraction of soya-bean oil or groundnut oil)</t>
  </si>
  <si>
    <t>African swine fever (ASF); Pest- or Disease- free Regions / Regionalization; Animal diseases; Animal health; African swine fever (ASF); Pest- or Disease- free Regions / Regionalization; Animal health; Animal diseases</t>
  </si>
  <si>
    <t>DMS 210-2:2024, Spirits – Specification Part 2: Gin</t>
  </si>
  <si>
    <t>This draft Malawi standard specifies the requirements, method of sampling and test for gin.</t>
  </si>
  <si>
    <t>22 - BEVERAGES, SPIRITS AND VINEGAR; 220850 - Gin and Geneva</t>
  </si>
  <si>
    <d:r xmlns:d="http://schemas.openxmlformats.org/spreadsheetml/2006/main">
      <d:rPr>
        <d:sz val="11"/>
        <d:rFont val="Calibri"/>
      </d:rPr>
      <d:t xml:space="preserve">https://members.wto.org/crnattachments/2024/TBT/MWI/24_07798_00_e.pdf</d:t>
    </d:r>
  </si>
  <si>
    <t>DMS 210-3:2024, Spirits – Specification Part 3: Brandy</t>
  </si>
  <si>
    <t>This draft Malawi standard specifies the requirements, methods of sampling and test for brandy.</t>
  </si>
  <si>
    <t>22 - BEVERAGES, SPIRITS AND VINEGAR; 220820 - Spirits obtained by distilling grape wine or grape marc</t>
  </si>
  <si>
    <d:r xmlns:d="http://schemas.openxmlformats.org/spreadsheetml/2006/main">
      <d:rPr>
        <d:sz val="11"/>
        <d:rFont val="Calibri"/>
      </d:rPr>
      <d:t xml:space="preserve">https://members.wto.org/crnattachments/2024/TBT/MWI/24_07799_00_e.pdf</d:t>
    </d:r>
  </si>
  <si>
    <t>DMS 2140:2024, Draught beer – Specification</t>
  </si>
  <si>
    <t>This draft Malawi standard specifies the requirements, methods of sampling and test for draught beer.</t>
  </si>
  <si>
    <t>22 - BEVERAGES, SPIRITS AND VINEGAR; 2203 - Beer made from malt.</t>
  </si>
  <si>
    <d:r xmlns:d="http://schemas.openxmlformats.org/spreadsheetml/2006/main">
      <d:rPr>
        <d:sz val="11"/>
        <d:rFont val="Calibri"/>
      </d:rPr>
      <d:t xml:space="preserve">https://members.wto.org/crnattachments/2024/TBT/MWI/24_07817_00_e.pdf</d:t>
    </d:r>
  </si>
  <si>
    <t>The DLD order on temporary suspension of importation or transit of live domestic pigs and wild pigs and their carcasses from Germany to prevent the spread of African Swine Fever</t>
  </si>
  <si>
    <t>The WOAH has reported an outbreak of African Swine Fever (ASF) in the area of Germany. Therefore, it is necessary for Thailand to prevent the entry of African Swine Fever disease into the country. By the virtue of the Animal Epidemics Act B.E. 2558 (2015), the importation or transit of live domestic pigs, wild pigs, and their carcasses from Germany has been temporarily suspended.</t>
  </si>
  <si>
    <t>Animal health; Animal diseases; African swine fever (ASF); Pest- or Disease- free Regions / Regionalization</t>
  </si>
  <si>
    <t>Germany</t>
  </si>
  <si>
    <t>The DLD order on temporary suspension of importation or transit of live poultry and poultry carcasses from theUnited States of America to prevent the spread of Highly Pathogenic Avian Influenza (Subtype H5N1)</t>
  </si>
  <si>
    <t>The WOAH has reported an outbreak of Highly Pathogenic Avian Influenza (Subtype H5N1) in the area of the United States of America. Therefore, it is necessary for Thailand to prevent the entry of Highly Pathogenic Avian Influenza     (Subtype H5N1) into the country. By the virtue of the Animal Epidemics Act B.E. 2558 (2015), the importation or transit of live poultry and poultry carcasses from the United States of America has been temporarily suspended.</t>
  </si>
  <si>
    <t xml:space="preserve">Other Solid Waste Incinerators: Air Curtain Incinerators Title V 
Permitting Provisions; Technical Correction</t>
  </si>
  <si>
    <t xml:space="preserve">The Environmental Protection Agency (EPA) is correcting a &gt;final rule that appeared in the Federal Register (FR) on 17 April 
2024 (notified as G/TBT/N/USA/1645/Add.2). The EPA finalized the Other Solid Waste Incinerators (OSWI); 
Title V Permitting Provisions rule which removed title V permitting 
requirements for air curtain incinerators that burn only wood waste, 
clean lumber, yard waste, or a mixture of these three types of waste. 
Following publication of this final rule, the EPA discovered 
inadvertent errors in the regulatory text and is correcting them in this action.&gt;The final rule is effective on 14 November 2024.89 Federal Register (FR) 89928, Title 40 Code of Federal Regulations (CFR) Part 60_x000D_
https://www.govinfo.gov/content/pkg/FR-2024-11-14/html/2024-25968.htm_x000D_
https://www.govinfo.gov/content/pkg/FR-2024-11-14/pdf/2024-25968.pdfThis and previous actions notified under the symbol G/TBT/N/USA/1645 are identified by Docket Number EPA-HQ-OAR-2003-0156. The Docket Folder is available on Regulations.gov at https://www.regulations.gov/docket/EPA-HQ-OAR-2003-0156/document and provides access to primary and supporting documents as well as comments received. Documents are also accessible from Regulations.gov by searching the Docket Number.</t>
  </si>
  <si>
    <t>Solid waste incineration units, emissions</t>
  </si>
  <si>
    <t>13.030.40 - Installations and equipment for waste disposal and treatment; 13.030.40 - Installations and equipment for waste disposal and treatment; 13.030.40 - Installations and equipment for waste disposal and treatment; 13.040.40 - Stationary source emissions; 13.040.40 - Stationary source emissions; 13.040.40 - Stationary source emissions</t>
  </si>
  <si>
    <d:r xmlns:d="http://schemas.openxmlformats.org/spreadsheetml/2006/main">
      <d:rPr>
        <d:sz val="11"/>
        <d:rFont val="Calibri"/>
      </d:rPr>
      <d:t xml:space="preserve">https://members.wto.org/crnattachments/2024/TBT/USA/24_07781_00_e.pdf</d:t>
    </d:r>
  </si>
  <si>
    <t>DMS 18:2024, Carbonated soft drinks – Specification</t>
  </si>
  <si>
    <t>This draft Malawi standard specifies requirements, methods of sampling and test for carbonated soft drinks intended for direct consumption.</t>
  </si>
  <si>
    <t>(ICS code(s): 67.160.20)</t>
  </si>
  <si>
    <d:r xmlns:d="http://schemas.openxmlformats.org/spreadsheetml/2006/main">
      <d:rPr>
        <d:sz val="11"/>
        <d:rFont val="Calibri"/>
      </d:rPr>
      <d:t xml:space="preserve">https://members.wto.org/crnattachments/2024/TBT/MWI/24_07818_00_e.pdf</d:t>
    </d:r>
  </si>
  <si>
    <t>DMS 1392:2024, Fruit juice drinks – Specification</t>
  </si>
  <si>
    <t>This draft Malawi standard specifies requirements, methods of sampling and test for ready to serve drinks containing fruit juice.</t>
  </si>
  <si>
    <d:r xmlns:d="http://schemas.openxmlformats.org/spreadsheetml/2006/main">
      <d:rPr>
        <d:sz val="11"/>
        <d:rFont val="Calibri"/>
      </d:rPr>
      <d:t xml:space="preserve">https://members.wto.org/crnattachments/2024/TBT/MWI/24_07806_00_e.pdf</d:t>
    </d:r>
  </si>
  <si>
    <t>DMS 1529-2:2024, Alcoholic Kombucha – Specification</t>
  </si>
  <si>
    <t>This draft Malawi standard specifies the requirements, methods of sampling and test for alcoholic kombucha.</t>
  </si>
  <si>
    <d:r xmlns:d="http://schemas.openxmlformats.org/spreadsheetml/2006/main">
      <d:rPr>
        <d:sz val="11"/>
        <d:rFont val="Calibri"/>
      </d:rPr>
      <d:t xml:space="preserve">https://members.wto.org/crnattachments/2024/TBT/MWI/24_07814_00_e.pdf</d:t>
    </d:r>
  </si>
  <si>
    <t>DMS 747:2024, Water based fruit flavoured drinks – Specification</t>
  </si>
  <si>
    <t>This draft Malawi standard specifies requirements, methods of sampling and test for water-based fruit flavoured drinks intended for direct consumption</t>
  </si>
  <si>
    <d:r xmlns:d="http://schemas.openxmlformats.org/spreadsheetml/2006/main">
      <d:rPr>
        <d:sz val="11"/>
        <d:rFont val="Calibri"/>
      </d:rPr>
      <d:t xml:space="preserve">https://members.wto.org/crnattachments/2024/TBT/MWI/24_07805_00_e.pdf</d:t>
    </d:r>
  </si>
  <si>
    <t>The DLD order on temporary suspension of importation or transit of live domestic pigs and wild pigs and their carcasses from Myanmar to prevent the spread of African Swine Fever</t>
  </si>
  <si>
    <t>The WOAH has reported an outbreak of African Swine Fever (ASF) in the area of Myanmar. Therefore, it is necessary for Thailand to prevent the entry of African Swine Fever disease into the country. By the virtue of the Animal Epidemics Act B.E. 2558 (2015), the importation or transit of live domestic pigs, wild pigs, and their carcasses from Myanmar has been temporarily suspended.</t>
  </si>
  <si>
    <t>Animal diseases; Animal health; African swine fever (ASF)</t>
  </si>
  <si>
    <t>Myanmar</t>
  </si>
  <si>
    <t>DMS 1393:2024, Fruit juice dairy blends – Specification</t>
  </si>
  <si>
    <t>This draft Malawi standard specifies requirements, methods of sampling and test for fruit juice dairy blends intended for direct consumption.</t>
  </si>
  <si>
    <d:r xmlns:d="http://schemas.openxmlformats.org/spreadsheetml/2006/main">
      <d:rPr>
        <d:sz val="11"/>
        <d:rFont val="Calibri"/>
      </d:rPr>
      <d:t xml:space="preserve">https://members.wto.org/crnattachments/2024/TBT/MWI/24_07807_00_e.pdf</d:t>
    </d:r>
  </si>
  <si>
    <t>DMS 210-6:2024, Spirits – Specification Part 6: Rum</t>
  </si>
  <si>
    <t>This draft Malawi standard specifies the requirements, method of sampling and test for rum.</t>
  </si>
  <si>
    <t>22 - BEVERAGES, SPIRITS AND VINEGAR; 220840 - Rum and other spirits obtained by distilling fermented sugar-cane products</t>
  </si>
  <si>
    <d:r xmlns:d="http://schemas.openxmlformats.org/spreadsheetml/2006/main">
      <d:rPr>
        <d:sz val="11"/>
        <d:rFont val="Calibri"/>
      </d:rPr>
      <d:t xml:space="preserve">https://members.wto.org/crnattachments/2024/TBT/MWI/24_07801_00_e.pdf</d:t>
    </d:r>
  </si>
  <si>
    <t>The DLD order on temporary suspension of importation or transit of live domestic pigs and wild pigs and their carcasses from the Republic of Korea to prevent the spread of African Swine Fever</t>
  </si>
  <si>
    <t>The WOAH has reported an outbreak of African Swine Fever (ASF) in the area of the Republic of Korea. Therefore, it is necessary for Thailand to prevent the entry of African Swine Fever disease into the country. By the virtue of the Animal Epidemics Act B.E. 2558 (2015), the importation or transit of live domestic pigs, wild pigs, and their carcasses from the Republic of Korea has been temporarily suspended.  </t>
  </si>
  <si>
    <t>The DLD order on temporary suspension of importation or transit of live poultry and poultry carcasses from Germany to prevent the spread of Highly Pathogenic Avian Influenza (Subtype H5N1)</t>
  </si>
  <si>
    <t>The WOAH has reported an outbreak of Highly Pathogenic Avian Influenza (Subtype H5N1) in the area of Germany. Therefore, it is necessary for Thailand to prevent the entry of Highly Pathogenic Avian Influenza (Subtype H5N1) into the country. By the virtue of the Animal Epidemics Act B.E. 2558 (2015), the importation or transit of live poultry and poultry carcasses from Germany has been temporarily suspended.</t>
  </si>
  <si>
    <t>Proposed amendment to the “Regulation on Labelling and Description of Medical Devices” </t>
  </si>
  <si>
    <t>The amendment aims to allow manufacturers and importers of medical devices to select and display a primary address where permanent contacts or visits are possible, rather than listing all addresses included in their manufacturing (import) business license on the container or exterior packaging of medical devices.</t>
  </si>
  <si>
    <t>Medical Devices</t>
  </si>
  <si>
    <d:r xmlns:d="http://schemas.openxmlformats.org/spreadsheetml/2006/main">
      <d:rPr>
        <d:sz val="11"/>
        <d:rFont val="Calibri"/>
      </d:rPr>
      <d:t xml:space="preserve">https://members.wto.org/crnattachments/2024/TBT/KOR/24_07794_00_x.pdf</d:t>
    </d:r>
  </si>
  <si>
    <t>DMS 1529-1:2024, Non-alcoholic Kombucha – Specification</t>
  </si>
  <si>
    <t>This draft Malawi standard specifies the requirements, methods of sampling and test for non-alcoholic kombucha.</t>
  </si>
  <si>
    <d:r xmlns:d="http://schemas.openxmlformats.org/spreadsheetml/2006/main">
      <d:rPr>
        <d:sz val="11"/>
        <d:rFont val="Calibri"/>
      </d:rPr>
      <d:t xml:space="preserve">https://members.wto.org/crnattachments/2024/TBT/MWI/24_07813_00_e.pdf</d:t>
    </d:r>
  </si>
  <si>
    <t>The DLD order on temporary suspension of importation or transit of live domestic pigs and wild pigs and their carcasses from Poland to prevent the spread of African Swine Fever</t>
  </si>
  <si>
    <t>The WOAH has reported an outbreak of African Swine Fever (ASF) in the area of Poland. Therefore, it is necessary for Thailand to prevent the entry of African Swine Fever disease into the country. By the virtue of the Animal Epidemics Act B.E. 2558 (2015), the importation or transit of live domestic pigs, wild pigs, and their carcasses from Poland has been temporarily suspended.</t>
  </si>
  <si>
    <t>Animal diseases; Animal health; African swine fever (ASF); Pest- or Disease- free Regions / Regionalization</t>
  </si>
  <si>
    <t xml:space="preserve">DMS 210-7:2024, Spirits – Specification Part 7: Liqueur_x000D_
</t>
  </si>
  <si>
    <t>This draft Malawi standard specifies requirements, method of sampling and test for liqueurs.</t>
  </si>
  <si>
    <t>22 - BEVERAGES, SPIRITS AND VINEGAR; 220870 - Liqueurs and cordials</t>
  </si>
  <si>
    <d:r xmlns:d="http://schemas.openxmlformats.org/spreadsheetml/2006/main">
      <d:rPr>
        <d:sz val="11"/>
        <d:rFont val="Calibri"/>
      </d:rPr>
      <d:t xml:space="preserve">https://members.wto.org/crnattachments/2024/TBT/MWI/24_07802_00_e.pdf</d:t>
    </d:r>
  </si>
  <si>
    <t>The DLD order on temporary suspension of the importation or transit of live poultry and poultry carcasses from France to prevent the spread of Highly Pathogenic Avian Influenza (Subtype H5N1)</t>
  </si>
  <si>
    <t>The WOAH has reported an outbreak of Highly Pathogenic Avian Influenza (Subtype H5N1) in Finistère of France. Therefore, it is necessary for Thailand to prevent the entry of Highly Pathogenic Avian Influenza (Subtype H5N1) into the country. By the virtue of the Animal Epidemics Act B.E. 2558 (2015), the importation or transit of live poultry and poultry carcasses from Finistère of France has been temporarily suspended.</t>
  </si>
  <si>
    <t>Animal health; Animal diseases; Pest- or Disease- free Regions / Regionalization; Avian Influenza</t>
  </si>
  <si>
    <t>Proposed Maximum Residue Limit: Spinosad (PMRL2024-23)</t>
  </si>
  <si>
    <t>The objective of the notified document PMRL2024-23 is to consult on the listed maximum residue limit (MRL) for spinosad that has been proposed by Health Canada’s Pest Management Regulatory Agency (PMRA).MRL (ppm)1 Raw Agricultural Commodity (RAC) and/or Processed Commodity0.7             Cranberries1 ppm = parts per million</t>
  </si>
  <si>
    <t>Pesticide spinosad in or on cranberries (ICS codes: 65.020, 65.100, 67.040, 67.080) </t>
  </si>
  <si>
    <t>081040 - Fresh cranberries, bilberries and other fruits of the genus Vaccinium</t>
  </si>
  <si>
    <t>DMS 1432:2024, Brewer’s yeast – Specification</t>
  </si>
  <si>
    <t>This draft Malawi standard specifies the requirements, methods of sampling and test for brewer’s yeast.</t>
  </si>
  <si>
    <t>(HS code(s): 2102); (ICS code(s): 67.160.10)</t>
  </si>
  <si>
    <t>2102 - Yeasts, active or inactive; other dead single-cell micro-organisms, prepared baking powders (excl. single-cell micro-organisms packaged as medicaments)</t>
  </si>
  <si>
    <d:r xmlns:d="http://schemas.openxmlformats.org/spreadsheetml/2006/main">
      <d:rPr>
        <d:sz val="11"/>
        <d:rFont val="Calibri"/>
      </d:rPr>
      <d:t xml:space="preserve">https://members.wto.org/crnattachments/2024/TBT/MWI/24_07810_00_e.pdf</d:t>
    </d:r>
  </si>
  <si>
    <t>Draft Order of the Ministry of Agrarian Policy "On Approval of the List of Categories of Feed Materials that May Be Indicated Instead of Certain Feed Materials in the Labelling of Feedingstuffs for Pet Animals"</t>
  </si>
  <si>
    <t>Ukraine notifies the adoption of the Order of the Ministry of Agrarian Policy and Food of Ukraine No 3497"On Approval of the List of Categories of Feed Materials that May Be Indicated Instead of Certain Feed Materials in the Labelling of Feedingstuffs for Pet Animals" of 17 September 2024.The Order was published on 5 November 2024 and will enter into force on 5 May 2025.</t>
  </si>
  <si>
    <t>Feed materials, feeding stuffs for pet animals (ICS code(s): 65.120; 67.040; 67.060; 67.080; 67.100; 67.120; 67.180; 67.200)</t>
  </si>
  <si>
    <t>65.120 - Animal feeding stuffs; 67.040 - Food products in general; 67.060 - Cereals, pulses and derived products; 67.080 - Fruits. Vegetables; 67.100 - Milk and milk products; 67.120 - Meat, meat products and other animal produce; 67.180 - Sugar. Sugar products. Starch; 67.200 - Edible oils and fats. Oilseeds; 65.120 - Animal feeding stuffs; 67.040 - Food products in general; 67.060 - Cereals, pulses and derived products; 67.080 - Fruits. Vegetables; 67.100 - Milk and milk products; 67.120 - Meat, meat products and other animal produce; 67.180 - Sugar. Sugar products. Starch; 67.200 - Edible oils and fats. Oilseeds</t>
  </si>
  <si>
    <t>Animal diseases; Food safety; Animal health; Human health; Adoption/publication/entry into force of reg.; Animal diseases; Food safety; Animal health; Human health</t>
  </si>
  <si>
    <d:r xmlns:d="http://schemas.openxmlformats.org/spreadsheetml/2006/main">
      <d:rPr>
        <d:sz val="11"/>
        <d:rFont val="Calibri"/>
      </d:rPr>
      <d:t xml:space="preserve">https://members.wto.org/crnattachments/2024/SPS/UKR/24_07731_00_e.pdf
https://members.wto.org/crnattachments/2024/SPS/UKR/24_07731_00_x.pdf
https://zakon.rada.gov.ua/laws/show/z1499-24#Text</d:t>
    </d:r>
  </si>
  <si>
    <t>Importation of Phalaenopsis spp. Orchid Plants for Planting in Approved Growing Media From Germany and the Netherlands Into the United States [Docket No. APHIS-2024-0001]</t>
  </si>
  <si>
    <t>We are proposing to authorize the importation of Phalaenopsis spp. orchid plants from Germany and the Netherlands in approved growing media into the United States. As a condition of entry, Phalaenopsis spp. orchid plants in approved growing media from Germany and the Netherlands would have to meet all relevant requirements included in the US Department of Agriculture Plants for Planting Manual and detailed in a bilateral workplan. This proposed action would allow for the importation of Phalaenopsis spp. orchid plants for planting from Germany and the Netherlands in approved growing media while providing protection against the introduction of plant pests. (Federal Register, Vol. 89, No. 215, Wednesday, 6 November 2024, pp. 87999-88000)</t>
  </si>
  <si>
    <t>Phalaenopsis spp. orchid plants for planting </t>
  </si>
  <si>
    <t>060313 - Fresh cut orchids and buds, of a kind suitable for bouquets or for ornamental purposes</t>
  </si>
  <si>
    <t>Germany; Netherlands</t>
  </si>
  <si>
    <d:r xmlns:d="http://schemas.openxmlformats.org/spreadsheetml/2006/main">
      <d:rPr>
        <d:sz val="11"/>
        <d:rFont val="Calibri"/>
      </d:rPr>
      <d:t xml:space="preserve">https://www.regulations.gov/document/APHIS-2024-0001-0001</d:t>
    </d:r>
  </si>
  <si>
    <t>Removal of the flavouring substance Benzene-1,2-diol (FL No. 04.029) from the Union list</t>
  </si>
  <si>
    <t>The proposal notified in G/SPS/N/EU/761 (3 May 2024) is now adopted by Commission Regulation (EU) 2024/2856 of 12 November 2024 amending Annex I to Regulation (EC) No 1334/2008 of the European Parliament and of the Council as regards the removal of the flavouring substance Benzene-1,2-diol (FL No. 04.029) from the Union list (Text with EEA relevance).This Regulation shall enter into force on the twentieth day following its publication in the Official Journal of the European Union.</t>
  </si>
  <si>
    <t>Adoption/publication/entry into force of reg.; Human health; Food safety; Human health; Food safety</t>
  </si>
  <si>
    <d:r xmlns:d="http://schemas.openxmlformats.org/spreadsheetml/2006/main">
      <d:rPr>
        <d:sz val="11"/>
        <d:rFont val="Calibri"/>
      </d:rPr>
      <d:t xml:space="preserve">https://members.wto.org/crnattachments/2024/SPS/EEC/24_07749_00_e.pdf
https://members.wto.org/crnattachments/2024/SPS/EEC/24_07749_00_f.pdf
https://members.wto.org/crnattachments/2024/SPS/EEC/24_07749_00_s.pdf</d:t>
    </d:r>
  </si>
  <si>
    <t>Final Rule: Decision To Authorize the Importation of Fresh Hass Avocado From Guatemala Into the United States [Docket No. APHIS-2024-0014]</t>
  </si>
  <si>
    <t>We are advising the public of our decision to authorize the importation of fresh Hass avocado (Persea americana var. Hass) fruit from Guatemala into the United States. Based on the findings of a pest risk analysis, which we made available to the public for review and comment, we have determined that the application of one or more designated phytosanitary measures will be sufficient to mitigate the risks of introducing or disseminating plant pests or noxious weeds via the importation of fresh Hass avocado fruit from Guatemala. (Federal Register, Vol. 89, No, 217, Friday, 8 November 2024, pp. 88712-88715)</t>
  </si>
  <si>
    <t>Hass avocado</t>
  </si>
  <si>
    <t>080440 - Fresh or dried avocados</t>
  </si>
  <si>
    <t>Guatemala</t>
  </si>
  <si>
    <d:r xmlns:d="http://schemas.openxmlformats.org/spreadsheetml/2006/main">
      <d:rPr>
        <d:sz val="11"/>
        <d:rFont val="Calibri"/>
      </d:rPr>
      <d:t xml:space="preserve">https://www.regulations.gov/document/APHIS-2024-0014-0053</d:t>
    </d:r>
  </si>
  <si>
    <t>DEAS 355-1: 2024, Toilet paper — Specification — Part 1 — Regular toilet tissue paper, Second Edition</t>
  </si>
  <si>
    <t>This Draft East African Standard specifies requirements, sampling and test methods for regular toilet tissue paper made from virgin, blended or recycled pulp.</t>
  </si>
  <si>
    <t xml:space="preserve">Toilet paper in rolls of a width of </t>
  </si>
  <si>
    <t>481810 - Toilet paper in rolls of a width of &lt;= 36 cm</t>
  </si>
  <si>
    <t>85.080.20 - Tissue paper</t>
  </si>
  <si>
    <t>Consumer information, labelling (TBT); Prevention of deceptive practices and consumer protection (TBT); Protection of human health or safety (TBT); Quality requirements (TBT); Harmonization (TBT)</t>
  </si>
  <si>
    <d:r xmlns:d="http://schemas.openxmlformats.org/spreadsheetml/2006/main">
      <d:rPr>
        <d:sz val="11"/>
        <d:rFont val="Calibri"/>
      </d:rPr>
      <d:t xml:space="preserve">https://members.wto.org/crnattachments/2024/TBT/UGA/24_07750_00_e.pdf</d:t>
    </d:r>
  </si>
  <si>
    <t>Veterinary Services User Fees [Docket No. APHIS–2023–0058]</t>
  </si>
  <si>
    <t>The Animal and Plant Health Inspection Service (APHIS) is announcing its proposed adjusted user fee rates for the costs of providing certain goods and services, including veterinary diagnostic goods and services and veterinary services for imports and exports of live animals and animal products. This includes the basis for any proposed adjusted fee change. This action is necessary because the regulations provide that APHIS will issue such a notice. This action would ensure that the fees charged more closely align with the costs of providing the goods or services. (Federal Register Vol. 89, No. 217, Friday, 8 November 2024, pp. 88697-88712)</t>
  </si>
  <si>
    <t>Live animals and animal products</t>
  </si>
  <si>
    <d:r xmlns:d="http://schemas.openxmlformats.org/spreadsheetml/2006/main">
      <d:rPr>
        <d:sz val="11"/>
        <d:rFont val="Calibri"/>
      </d:rPr>
      <d:t xml:space="preserve">https://www.regulations.gov/document/APHIS-2023-0058-0001</d:t>
    </d:r>
  </si>
  <si>
    <t>Revision of the Rules on the Performance and Standards for Motor Vehicles and their Parts</t>
  </si>
  <si>
    <t>In light of the recent amendments to the Motor Vehicle Management Act (Act No. 20298, promulgated on 13 February 2024 and enforced on 14 February 2025; and Act No. 19724, promulgated on 14 September 2023 and enforced on 15 March 2025), which impose the obligation to install an Event Data Recorder (EDR) on vehicles prescribed by the Ministry of Land, Infrastructure, and Transport, and enable economic compensation by in substitution for corrective measures for overstating the driving range after a single charge of an electric vehicle, the Korean government would like to provide the definitions of items delegated by law and prepare for the implementation of the system.Define passenger cars and buses and trucks with a gross vehicle weight of 3.85 tons or less as vehicles subject to mandatory installation of EDR (Draft Article 56-2)Revise the terminology (fuel consumption ratio → energy consumption efficiency) to align with the amendment to the Motor Vehicle Management Act (Draft Article 108-2)Establish a tolerance for overstating the driving range of electric vehicles after a single charge (Newly inserted draft Article 108-3)</t>
  </si>
  <si>
    <t>Motor Vehicles</t>
  </si>
  <si>
    <t>43.020 - Road vehicles in general</t>
  </si>
  <si>
    <d:r xmlns:d="http://schemas.openxmlformats.org/spreadsheetml/2006/main">
      <d:rPr>
        <d:sz val="11"/>
        <d:rFont val="Calibri"/>
      </d:rPr>
      <d:t xml:space="preserve">https://members.wto.org/crnattachments/2024/TBT/KOR/24_07757_00_x.pdf</d:t>
    </d:r>
  </si>
  <si>
    <t>Fluindapyr; Pesticide Tolerances. Final Rule</t>
  </si>
  <si>
    <t>This regulation establishes tolerances for residues of fluindapyr in or on soybean, forage; soybean, hay; soybean, hulls; and soybean, seed.</t>
  </si>
  <si>
    <t>Soybean, forage; soybean, hay; soybean, hulls; and soybean, seed</t>
  </si>
  <si>
    <d:r xmlns:d="http://schemas.openxmlformats.org/spreadsheetml/2006/main">
      <d:rPr>
        <d:sz val="11"/>
        <d:rFont val="Calibri"/>
      </d:rPr>
      <d:t xml:space="preserve">https://www.govinfo.gov/content/pkg/FR-2024-11-08/html/2024-25917.htm</d:t>
    </d:r>
  </si>
  <si>
    <t>DUS 945-1:2024, pre-insulated flexible pipe systems — Part 1: Classification, general requirements and methods of test, Second Edition.</t>
  </si>
  <si>
    <t>This Draft Uganda Standard specifies the classification, general requirements and methods of test for flexible, preinsulated, directly buried district heating pipe systems. Depending on the pipe assembly (see Table 4), this standard can be used for maximum operating temperatures of 95 °C to 140 °C and operating pressures of 6 bars to 25 bars. The pipe systems are designed for a lifetime of 30 years. For pipe systems with plastic service pipes, the respective temperature profiles are defined in US 945-2.NOTE For the transport of other liquids, for example potable water, additional requirements may be applicable.</t>
  </si>
  <si>
    <t>Flexible tubes, pipes and hoses, and fittings therefor, of plastics, burst pressure &gt;= 27,6 MPa (HS code(s): 391731); Pipeline components and pipelines (ICS code(s): 23.040)</t>
  </si>
  <si>
    <t>391731 - Flexible tubes, pipes and hoses, and fittings therefor, of plastics, burst pressure &gt;= 27,6 MPa</t>
  </si>
  <si>
    <t>23.040 - Pipeline components and pipelines</t>
  </si>
  <si>
    <t>Prevention of deceptive practices and consumer protection (TBT); Protection of human health or safety (TBT); Protection of the environment (TBT); Quality requirements (TBT); Harmonization (TBT); Reducing trade barriers and facilitating trade (TBT)</t>
  </si>
  <si>
    <d:r xmlns:d="http://schemas.openxmlformats.org/spreadsheetml/2006/main">
      <d:rPr>
        <d:sz val="11"/>
        <d:rFont val="Calibri"/>
      </d:rPr>
      <d:t xml:space="preserve">https://members.wto.org/crnattachments/2024/TBT/UGA/24_07756_00_e.pdf</d:t>
    </d:r>
  </si>
  <si>
    <t xml:space="preserve">Receipt of a Pesticide Petition Filed for Residues of Pesticide 
Chemicals in or on Various Commodities</t>
  </si>
  <si>
    <t>This document announces the Agency's receipt of several initial filings of pesticide petitions requesting the establishment or modification of regulations for residues of pesticide chemicals in or on various commodities.</t>
  </si>
  <si>
    <d:r xmlns:d="http://schemas.openxmlformats.org/spreadsheetml/2006/main">
      <d:rPr>
        <d:sz val="11"/>
        <d:rFont val="Calibri"/>
      </d:rPr>
      <d:t xml:space="preserve">https://www.govinfo.gov/content/pkg/FR-2024-11-01/html/2024-25474.htm</d:t>
    </d:r>
  </si>
  <si>
    <t xml:space="preserve">Receipt of a Pesticide Petition Filed for Residues of Pesticide 
Chemicals in or on Various Commodities (September 2024) </t>
  </si>
  <si>
    <t xml:space="preserve">This document announces the Agency's receipt of an initial 
filing of a pesticide petition requesting the establishment or 
modification of regulations for residues of pesticide chemicals in or 
on various commodities. </t>
  </si>
  <si>
    <d:r xmlns:d="http://schemas.openxmlformats.org/spreadsheetml/2006/main">
      <d:rPr>
        <d:sz val="11"/>
        <d:rFont val="Calibri"/>
      </d:rPr>
      <d:t xml:space="preserve">https://www.govinfo.gov/content/pkg/FR-2024-11-12/html/2024-25764.htm</d:t>
    </d:r>
  </si>
  <si>
    <t>Indirect Food Additives: Adhesives and Components of Coatings; Paper and Paperboard Components; Polymers; Adjuvants, Production Aids, and Sanitizers; Final Rule; Response to Objection; Confirmation of Effective Date</t>
  </si>
  <si>
    <t>The Food and Drug Administration (FDA or we) is responding to the objection that we received from the Environmental Defense Fund, Breast Cancer Prevention Partners, Environmental Protection Network, Environmental Working Group, and Healthy Babies Bright Futures on the final rule that amended the food additive regulations to no longer provide for the use of 25 plasticizers that the petition identified as ortho-phthalates because these food additive uses have been permanently abandoned. After reviewing the objection, FDA has concluded that the objection does not provide a basis for modifying FDA’s final rule amending the food additive regulations.DATES: The effective date of 20 May 2022, for the final rule published on 20 May 2022 (87 FR 31080), is confirmed.</t>
  </si>
  <si>
    <t>Polycarboxylic acids, their anhydrides, halides, peroxides and peroxyacids; their halogenated, sulphonated, nitrated or nitrosated derivatives (HS code(s): 2917); Food technology (ICS code(s): 67)</t>
  </si>
  <si>
    <t>2917 - Polycarboxylic acids, their anhydrides, halides, peroxides and peroxyacids; their halogenated, sulphonated, nitrated or nitrosated derivatives; 2917 - Polycarboxylic acids, their anhydrides, halides, peroxides and peroxyacids; their halogenated, sulphonated, nitrated or nitrosated derivatives</t>
  </si>
  <si>
    <t>67 - FOOD TECHNOLOGY; 67 - FOOD TECHNOLOGY</t>
  </si>
  <si>
    <t>Food additives; Food safety; Human health; Adoption/publication/entry into force of reg.; Human health; Food safety; Food additives</t>
  </si>
  <si>
    <d:r xmlns:d="http://schemas.openxmlformats.org/spreadsheetml/2006/main">
      <d:rPr>
        <d:sz val="11"/>
        <d:rFont val="Calibri"/>
      </d:rPr>
      <d:t xml:space="preserve">https://members.wto.org/crnattachments/2024/SPS/USA/24_07742_00_e.pdf
https://www.govinfo.gov/content/pkg/FR-2024-10-30/pdf/2024-25122.pdf
https://www.federalregister.gov/d/2024-25122</d:t>
    </d:r>
  </si>
  <si>
    <t>draft Resolution of the Cabinet of Ministers of Ukraine “On Amendments to the Procedure for the State Registration (Reregistration) of Medicines” </t>
  </si>
  <si>
    <t>the draft Resolution of the Cabinet Ministers of Ukraine aims to align the Procedure for the State Registration (Reregistration) of Medicines, approved by the Resolution of the Cabinet of Ministers of Ukraine No. 376 of 26 May 2005 (as amended by the Resolution of the Cabinet of Ministers of Ukraine of 26 April 2024 No. 529), notified in document G/TBT/N/UKR/300, with the provisions of the Law of Ukraine No. 3910 "On Amendments to the Law of Ukraine "On Medicinal Products" on Labelling of Medicinal Products" of 21 August 2024, notified in document G/TBT/N/UKR/307.The amendments to the Procedure for the State Registration (Reregistration) of Medicines provide for the regulation of the peculiarities of state registration of medicines that are not registered at the time of the procurement procedure after determining the winner of the procurement procedure  by verifying the authenticity of registration materials, as well as improving the procedure for making decisions on suspension, cancellation and termination of the state registration of medicines and decisions to refuse state registration of medicines.This draft Resolution intends to ensure consistency in national legislation on the labeling of medicines with the requirements of Directive 2001/83/EC of the European Parliament and of the Council of 6 November 2001 on the Community code relating to medicinal products for human use.</t>
  </si>
  <si>
    <t>medicines</t>
  </si>
  <si>
    <d:r xmlns:d="http://schemas.openxmlformats.org/spreadsheetml/2006/main">
      <d:rPr>
        <d:sz val="11"/>
        <d:rFont val="Calibri"/>
      </d:rPr>
      <d:t xml:space="preserve">https://members.wto.org/crnattachments/2024/TBT/UKR/24_07773_00_e.pdf
https://members.wto.org/crnattachments/2024/TBT/UKR/24_07773_01_e.pdf
https://members.wto.org/crnattachments/2024/TBT/UKR/24_07773_00_x.pdf
https://members.wto.org/crnattachments/2024/TBT/UKR/24_07773_01_x.pdf</d:t>
    </d:r>
  </si>
  <si>
    <t>Proposed draft of the Public Notice “Designation of Restricted Substance and Prohibited Substance"</t>
  </si>
  <si>
    <t>New designation of lead compounds and methylene chloride as restricted substances. Please refer to Attachment 2 and 3.</t>
  </si>
  <si>
    <t>Chemical Substances</t>
  </si>
  <si>
    <d:r xmlns:d="http://schemas.openxmlformats.org/spreadsheetml/2006/main">
      <d:rPr>
        <d:sz val="11"/>
        <d:rFont val="Calibri"/>
      </d:rPr>
      <d:t xml:space="preserve">https://members.wto.org/crnattachments/2024/TBT/KOR/24_07758_00_x.pdf</d:t>
    </d:r>
  </si>
  <si>
    <t>Achieving 100% Wireless Handset Model Hearing Aid Compatibility</t>
  </si>
  <si>
    <t xml:space="preserve">In this document, the Federal Communications Commission ("Commission") adopts a 100% hearing aid compatibility requirement that applies to all future wireless handset models offered for sale or use in the United States and implementation provisions related to this 100% requirement, including a Bluetooth coupling requirement.Effective 13 December 2024, except for amendatory instructions 3 and 4 which are delayed indefinitely. The Commission will publish a document in the Federal Register announcing the effective dates of these amendments. The incorporation by reference of certain publications listed in the rule is approved by the Director of the Federal Register as of 3 June 2021.89 Federal Register (FR) 89832, 13 November 2024; Title 47 Code of Federal Regulations (CFR) Part 20_x000D_
https://www.govinfo.gov/content/pkg/FR-2024-11-13/html/2024-25088.htm_x000D_
https://www.govinfo.gov/content/pkg/FR-2024-11-13/pdf/2024-25088.pdf_x000D_
https://docs.fcc.gov/public/attachments/FCC-24-112A1.pdfThis final rule is identified by WT Docket No. 23-388 and FCC 24-112. Primary and supporting documents (if any) are available at https://www.fcc.gov/edocs/search-results?t=quick&amp;dockets=23-388 and https://www.fcc.gov/edocs/search-results?t=quick&amp;fccdaNo=24-112. Documents are also accessible from the FCC's Electronic Document Management System (EDOCS) by searching the WT Docket Number.  Filings, including comments, are accessible from the FCC’s Electronic Comment Filing System (ECFS) at https://www.fcc.gov/ecfs/search/search-filings/results?q=(express_comment:(%220%22)+AND+proceedings.name:(%2223-388%22))</t>
  </si>
  <si>
    <t>Wireless handset model hearing aid compatibility; Hearing aids (excl. parts and accessories) (HS code(s): 902140); Quality (ICS code(s): 03.120); Aids for deaf and hearing-impaired people (ICS code(s): 11.180.15); Acoustics and acoustic measurements (ICS code(s): 17.140); Telephone equipment (ICS code(s): 33.050.10); Accessories (ICS code(s): 33.160.50)</t>
  </si>
  <si>
    <t>902140 - Hearing aids (excl. parts and accessories); 902140 - Hearing aids (excl. parts and accessories)</t>
  </si>
  <si>
    <t>03.120 - Quality; 11.180.15 - Aids for deaf and hearing impaired people; 17.140 - Acoustics and acoustic measurements; 33.050.10 - Telephone equipment; 33.160.50 - Accessories; 03.120 - Quality; 11.180.15 - Aids for deaf and hearing impaired people; 17.140 - Acoustics and acoustic measurements; 33.050.10 - Telephone equipment; 33.160.50 - Accessories</t>
  </si>
  <si>
    <d:r xmlns:d="http://schemas.openxmlformats.org/spreadsheetml/2006/main">
      <d:rPr>
        <d:sz val="11"/>
        <d:rFont val="Calibri"/>
      </d:rPr>
      <d:t xml:space="preserve">https://members.wto.org/crnattachments/2024/TBT/USA/final_measure/24_07759_00_e.pdf
https://members.wto.org/crnattachments/2024/TBT/USA/final_measure/24_07759_01_e.pdf</d:t>
    </d:r>
  </si>
  <si>
    <t xml:space="preserve">Air Quality: Revision to the Regulatory Definition of Volatile 
Organic Compounds--Exclusion of (Z)-1-chloro-2,3,3,3-tetrafluoropropene 
(HCFO-1224yd(Z))</t>
  </si>
  <si>
    <t xml:space="preserve">Proposed rule - The U.S. Environmental Protection Agency (EPA) is proposing to 
revise the EPA's regulatory definition of volatile organic compounds 
(VOC) under the Clean Air Act (CAA). This action proposes to add (Z)-1-
chloro-2,3,3,3-tetrafluoropropene (also known as HCFO-1224yd(Z); CAS 
number 111512-60-8) to the list of compounds excluded from the 
regulatory definition on the basis that this compound makes a 
negligible contribution to tropospheric ozone (O3) 
formation.</t>
  </si>
  <si>
    <t xml:space="preserve">(Z)-1-
chloro-2,3,3,3-tetrafluoropropene; Environmental protection (ICS code(s): 13.020); Production in the chemical industry (ICS code(s): 71.020); Products of the chemical industry (ICS code(s): 71.100)</t>
  </si>
  <si>
    <d:r xmlns:d="http://schemas.openxmlformats.org/spreadsheetml/2006/main">
      <d:rPr>
        <d:sz val="11"/>
        <d:rFont val="Calibri"/>
      </d:rPr>
      <d:t xml:space="preserve">https://members.wto.org/crnattachments/2024/TBT/USA/24_07760_00_e.pdf</d:t>
    </d:r>
  </si>
  <si>
    <t>Glufosinate-P; Pesticide Tolerances. Final Rule</t>
  </si>
  <si>
    <t xml:space="preserve">This regulation establishes tolerances for residues of 
glufosinate-P in or on multiple commodities. </t>
  </si>
  <si>
    <d:r xmlns:d="http://schemas.openxmlformats.org/spreadsheetml/2006/main">
      <d:rPr>
        <d:sz val="11"/>
        <d:rFont val="Calibri"/>
      </d:rPr>
      <d:t xml:space="preserve">https://www.govinfo.gov/content/pkg/FR-2024-10-29/html/2024-24831.htm</d:t>
    </d:r>
  </si>
  <si>
    <t>Mefenoxam; Pesticide Tolerances. Final Rule</t>
  </si>
  <si>
    <t>This regulation establishes tolerances for residues of mefenoxam in or on palm oil. </t>
  </si>
  <si>
    <t>Palm oil</t>
  </si>
  <si>
    <d:r xmlns:d="http://schemas.openxmlformats.org/spreadsheetml/2006/main">
      <d:rPr>
        <d:sz val="11"/>
        <d:rFont val="Calibri"/>
      </d:rPr>
      <d:t xml:space="preserve">https://www.govinfo.gov/content/pkg/FR-2024-11-04/html/2024-25564.htm</d:t>
    </d:r>
  </si>
  <si>
    <t>Revision of Ministerial Ordinance on the Specifications and Standards of Feeds and Feed Additives.</t>
  </si>
  <si>
    <t>MAFF designated 3-Nitrooxypropanol as a feed additive and set the technical regulations and specifications for feed and feed additives to "Ministerial Ordinance on the Specifications and Standards of Feeds and Feed Additives" (Ordinance No. 35 of 24 July 1976 of the Ministry of Agriculture and Forestry).</t>
  </si>
  <si>
    <t>3-Nitrooxypropanol as a feed additive</t>
  </si>
  <si>
    <d:r xmlns:d="http://schemas.openxmlformats.org/spreadsheetml/2006/main">
      <d:rPr>
        <d:sz val="11"/>
        <d:rFont val="Calibri"/>
      </d:rPr>
      <d:t xml:space="preserve">https://members.wto.org/crnattachments/2024/TBT/JPN/24_07774_00_e.pdf</d:t>
    </d:r>
  </si>
  <si>
    <t>Declaration of Country Freedom from Three Aquatic Animal Pathogens: Epizootic Hematopoietic Necrosis Virus, Salmonid Alphavirus, and Gyrodactylus salaris</t>
  </si>
  <si>
    <t>As the US competent authority for Animal Health, USDA APHIS has officially declared country freedom from three WOAH-listed aquatic animal pathogens.Effective 12 November 2024, the entire United States is declared free from epizootic hematopoietic necrosis virus (EHNV), salmonid alphavirus (SAV), and Gyrodactylus solaris. These country-level freedom declarations are made in alignment with the WOAH criteria as specified in Chapter 1.4. Aquatic Animal Disease Surveillance of the WOAH Aquatic Code, and affirm APHIS' commitment to ensuring and maintaining healthy aquatic animal populations for domestic use and international trade purposes.These country freedom declarations will be used to facilitate the continued export of healthy aquatic animal species from the United States.  If the species being exported is considered susceptible to EHNV, SAV, or Gyrodactylus solaris, APHIS will certify the aquatic animals originate from a country declared free from these pathogens, where applicable.</t>
  </si>
  <si>
    <t>Aquatic animals</t>
  </si>
  <si>
    <t>Animal diseases; Animal health</t>
  </si>
  <si>
    <d:r xmlns:d="http://schemas.openxmlformats.org/spreadsheetml/2006/main">
      <d:rPr>
        <d:sz val="11"/>
        <d:rFont val="Calibri"/>
      </d:rPr>
      <d:t xml:space="preserve">https://www.aphis.usda.gov/livestock-poultry-disease/aquaculture/health-status-reviews</d:t>
    </d:r>
  </si>
  <si>
    <t>Pesticide Registration Review; Proposed Decisions for folpet and sedaxane; Notice of Availability</t>
  </si>
  <si>
    <t xml:space="preserve">This notification announces the availability of EPA's amended 
proposed interim decisions (PID) for folpet and sedaxane. </t>
  </si>
  <si>
    <d:r xmlns:d="http://schemas.openxmlformats.org/spreadsheetml/2006/main">
      <d:rPr>
        <d:sz val="11"/>
        <d:rFont val="Calibri"/>
      </d:rPr>
      <d:t xml:space="preserve">https://www.govinfo.gov/content/pkg/FR-2024-11-05/html/2024-25618.htm</d:t>
    </d:r>
  </si>
  <si>
    <t>Draft Plant Quarantine (Regulation of Import into India) Order, 2003 (Fourteenth Amendment) 2024</t>
  </si>
  <si>
    <t>The Draft Plant Quarantine (Regulation of Import into India) (Fourteenth Amendment) Order, 2024 seeks to further liberalize provisions governing import of Betula spp. (Birch), Juglans spp. (Walnut), Prunus spp. (Cherry) from Canada.</t>
  </si>
  <si>
    <t>Betula spp. (Birch), Juglans spp. (Walnut), Prunus spp. (Cherry)</t>
  </si>
  <si>
    <t>Plant health; Territory protection; Plant diseases</t>
  </si>
  <si>
    <d:r xmlns:d="http://schemas.openxmlformats.org/spreadsheetml/2006/main">
      <d:rPr>
        <d:sz val="11"/>
        <d:rFont val="Calibri"/>
      </d:rPr>
      <d:t xml:space="preserve">https://members.wto.org/crnattachments/2024/SPS/IND/24_07771_00_e.pdf</d:t>
    </d:r>
  </si>
  <si>
    <t>DUS 945-2, pre-insulated flexible pipe systems — Part 2: Non bonded system with plastic service pipes, requirements and methods of test, Second Edition</t>
  </si>
  <si>
    <t>This Draft Uganda Standard specifies the requirements and methods of test for flexible, pre-insulated, direct buried district heating pipes with plastic s`1ervice pipes and no bonding between the layers of the pipes. This standard is valid for maximum operating temperatures of 95 °C and maximum operating pressures up to 10 bars for a design lifetime of at least 30 years. This draft standard does not cover surveillance systems. NOTE For higher temperatures or for the transport of other fluids, for example potable water, additional requirements and testing may be needed. Such requirements are not specified in this standard.</t>
  </si>
  <si>
    <t>Flexible tubes, pipes and hoses, of plastics, burst pressure &gt;= 27,6 MPa (HS code(s): 391731); Plastics pipes (ICS code(s): 23.040.20)</t>
  </si>
  <si>
    <t>391731 - Flexible tubes, pipes and hoses, of plastics, burst pressure &gt;= 27,6 MPa</t>
  </si>
  <si>
    <d:r xmlns:d="http://schemas.openxmlformats.org/spreadsheetml/2006/main">
      <d:rPr>
        <d:sz val="11"/>
        <d:rFont val="Calibri"/>
      </d:rPr>
      <d:t xml:space="preserve">https://members.wto.org/crnattachments/2024/TBT/UGA/24_07755_00_e.pdf</d:t>
    </d:r>
  </si>
  <si>
    <t>Proposal to amend Schedule 20 of the revised Australia New Zealand Food Standards Code</t>
  </si>
  <si>
    <t>The following correction for notification G/SPS/N/AUS/603 is outlined below.Item 11: Removal of the following text  “The proposed increase to the 2,4-D Walnuts MRLfrom *0.05 mg/kg to 0.2 mg/kg is considered to be trade facilitating noting that Codex, the European Union and the United States of America have established 2,4-D MRLs/tolerances for Tree nuts at 0.2 mg/kg. Therefore, this specific MRL change will progress without the normal consultation period.”</t>
  </si>
  <si>
    <t>Maximum residue limits (MRLs); Food safety; Human health; Maximum residue limits (MRLs); Human health; Food safety</t>
  </si>
  <si>
    <t>Environmental Defense Fund, et al.; Response to Objections and Requests for a Public Hearing; Notification; Response to Objections and Denial of Public Hearing Requests</t>
  </si>
  <si>
    <t>The Food and Drug Administration (FDA or we) received objections and requests for a public hearing submitted by the Environmental Defense Fund, Learning Disabilities Association of America, Center for Food Safety, Center for Environmental Health, Center for Science in the Public Interest, Breast Cancer Prevention Partners, Defend our Health, and Alaska Community Action on Toxics on the denial of a food additive petition (FAP 6B4815) requesting that we revoke specified regulations to no longer provide for the food contact use of 28 ortho-phthalates. We are overruling the objections and denying the requests for a public hearing.</t>
  </si>
  <si>
    <t>ICS Code(s): 67. Food contact substances</t>
  </si>
  <si>
    <t>3919 - Self-adhesive plates, sheets, film, foil, tape, strip and other flat shapes, of plastics, whether or not in rolls (excl. floor, wall and ceiling coverings of heading 3918); 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3923 - Articles for the conveyance or packaging of goods, of plastics; stoppers, lids, caps and other closures, of plastics; 3924 - Tableware, kitchenware, other household articles and toilet articles, of plastics (excl. baths, shower-baths, washbasins, bidets, lavatory pans, seats and covers, flushing cisterns and similar sanitary ware); 3924 - Tableware, kitchenware, other household articles and toilet articles, of plastics (excl. baths, shower-baths, wash-basins, bidets, lavatory pans, seats and covers, flushing cisterns and similar sanitary ware); 3923 - Articles for the conveyance or packaging of goods, of plastics; stoppers, lids, caps and other closures, of plastics; 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3919 - Self-adhesive plates, sheets, film, foil, tape, strip and other flat shapes, of plastics, whether or not in rolls (excl. floor, wall and ceiling coverings of heading 3918)</t>
  </si>
  <si>
    <t>Packaging; Food safety; Human health; Adoption/publication/entry into force of reg.; Contaminants; Human health; Contaminants; Packaging; Food safety</t>
  </si>
  <si>
    <d:r xmlns:d="http://schemas.openxmlformats.org/spreadsheetml/2006/main">
      <d:rPr>
        <d:sz val="11"/>
        <d:rFont val="Calibri"/>
      </d:rPr>
      <d:t xml:space="preserve">https://members.wto.org/crnattachments/2024/SPS/USA/24_07743_00_e.pdf
https://www.govinfo.gov/content/pkg/FR-2024-10-30/pdf/2024-25120.pdf
https://www.federalregister.gov/d/2024-25120</d:t>
    </d:r>
  </si>
  <si>
    <t> Revision of Ministerial Ordinance on the Specifications and Standards of Feeds and Feed Additives</t>
  </si>
  <si>
    <t>MAFF designated 3-Nitrooxypropanol as a feed additive and set the standards and specifications for feed and feed additives to "Ministerial Ordinance on the Specifications and Standards of Feeds and Feed Additives" (Ordinance No. 35 of 24 July 1976 of the Ministry of Agriculture and Forestry).</t>
  </si>
  <si>
    <t>3-Nitrooxypropanol as a feed additive</t>
  </si>
  <si>
    <t>Human health; Food safety; Animal diseases; Animal health</t>
  </si>
  <si>
    <d:r xmlns:d="http://schemas.openxmlformats.org/spreadsheetml/2006/main">
      <d:rPr>
        <d:sz val="11"/>
        <d:rFont val="Calibri"/>
      </d:rPr>
      <d:t xml:space="preserve">https://members.wto.org/crnattachments/2024/SPS/JPN/24_07772_00_e.pdf</d:t>
    </d:r>
  </si>
  <si>
    <t>National Standard of the P.R.C., Safety specification for magnesium alloy die casting</t>
  </si>
  <si>
    <t xml:space="preserve">This document specifies technology requirements for the safety management of magnesium alloy die casting production process, plant layout and construction (structure) buildings, equipment and facilities, operations, magnesium alloy raw materials and waste storage, etc.. _x000D_
This document applies to the production safety management for magnesium alloy high-pressure casting process and semi-solid die casting, etc..</t>
  </si>
  <si>
    <t>magnesium alloy die-casting safety production, use, inspection and maintenance process involves: magnesium alloy die-casting machine, trimmer, manipulator, combustible gases and hazardous gas detection and alarm devices, machining equipment, magnesium alloy furnace and peripheral equipment, pressure vessels, hydraulic and pneumatic systems, magnesium alloy casting cleaning device, grinding equipment, gas pipelines and related equipment should be steam or nitrogen purging device and other equipment (HS code(s): 271121; 391729; 7311; 841780; 841989; 842890; 845430; 846090; 846693; 853110; 902710); (ICS code(s): 77.120.20)</t>
  </si>
  <si>
    <t>845430 - Casting machines of a kind used in metallurgy or in metal foundries; 841989 - Machinery, plant or laboratory equipment, whether or not electrically heated, for the treatment of materials by a process involving a change of temperature such as heating, cooking, roasting, sterilising, pasteurising, steaming, evaporating, vaporising, condensing or cooling, n.e.s. (excl. machinery used for domestic purposes and furnaces, ovens and other equipment of heading 8514); 842890 - Machinery for lifting, handling, loading or unloading, n.e.s.; 902710 - Gas or smoke analysis apparatus; 853110 - Burglar or fire alarms and similar apparatus; 841780 - Industrial or laboratory furnaces and ovens, non-electric, incl. incinerators (excl. those for the roasting, melting or other heat treatment of ores, pyrites or metals, bakery ovens, drying ovens and ovens for cracking operations); 7311 - Containers for compressed or liquefied gas, of iron or steel.; 846693 - Parts and accessories for machine tools for working material by removing material of headings 8456 to 8461, n.e.s.; 846090 - Machines for deburring, polishing or otherwise finishing metal or cermets (excl. grinding, sharpening, honing and lapping machines and machines for working in the hand); 271121 - Natural gas in gaseous state; 391729 - Rigid tubes, pipes and hoses, of plastics (excl. those of polymers of ethylene, propylene and vinyl chloride)</t>
  </si>
  <si>
    <t>77.120.20 - Magnesium and magnesium alloys</t>
  </si>
  <si>
    <d:r xmlns:d="http://schemas.openxmlformats.org/spreadsheetml/2006/main">
      <d:rPr>
        <d:sz val="11"/>
        <d:rFont val="Calibri"/>
      </d:rPr>
      <d:t xml:space="preserve">https://members.wto.org/crnattachments/2024/TBT/CHN/24_07728_00_x.pdf</d:t>
    </d:r>
  </si>
  <si>
    <t>Draft Resolution of the Cabinet of Ministers of Ukraine “On Amendments to Certain Resolutions of the Cabinet of Ministers of Ukraine on Parallel Imports of Medicines”</t>
  </si>
  <si>
    <t>The draft Resolution has been developed to align the procedures for state quality control of medicines and control over the compliance of immunobiological products used in medical practice with the requirements of national and international standards, in accordance with the provisions of the Law of Ukraine of 16 July 2024 No. 3860-ІХ ‘On Amendments to Certain Laws of Ukraine on Parallel Imports of Medicines’.</t>
  </si>
  <si>
    <t>Quality requirements (TBT); Harmonization (TBT)</t>
  </si>
  <si>
    <d:r xmlns:d="http://schemas.openxmlformats.org/spreadsheetml/2006/main">
      <d:rPr>
        <d:sz val="11"/>
        <d:rFont val="Calibri"/>
      </d:rPr>
      <d:t xml:space="preserve">https://members.wto.org/crnattachments/2024/TBT/UKR/24_07715_00_e.pdf
https://members.wto.org/crnattachments/2024/TBT/UKR/24_07715_01_e.pdf
https://members.wto.org/crnattachments/2024/TBT/UKR/24_07715_00_x.pdf
https://members.wto.org/crnattachments/2024/TBT/UKR/24_07715_01_x.pdf</d:t>
    </d:r>
  </si>
  <si>
    <t>Resolution governing the importation, for consumption, of sweet potatoes (Ipomoea batatas) from the Dominican Republic Costa Rica hereby advises that the phytosanitary measures notified in document G/SPS/N/CRI/281 have been adopted under Resolution No. 070-CV-ARP-SFE of the State Phytosanitary Service, Standards and Regulations Department, Pest Risk Analysis Unit, establishing phytosanitary requirements for the importation, for consumption, of sweet potatoes (Ipomoea batatas) from the Dominican Republic. The draft Resolution was circulated on 10 September 2024. The date of entry into force will be six months after signature of the final Resolution. https://members.wto.org/crnattachments/2024/SPS/CRI/24_07720_00_s.pdf</t>
  </si>
  <si>
    <t>Fresh sweet potatoes (HS code(s): 071420)</t>
  </si>
  <si>
    <d:r xmlns:d="http://schemas.openxmlformats.org/spreadsheetml/2006/main">
      <d:rPr>
        <d:sz val="11"/>
        <d:rFont val="Calibri"/>
      </d:rPr>
      <d:t xml:space="preserve">https://members.wto.org/crnattachments/2024/SPS/CRI/24_07720_00_s.pdf</d:t>
    </d:r>
  </si>
  <si>
    <t>draft Resolution of the Cabinet of Ministers of Ukraine “On Approval of the Procedure for Imports of Medicines into the Territory of Ukraine”</t>
  </si>
  <si>
    <t xml:space="preserve">the draft Resolution of the Cabinet of Ministers of Ukraine "On Approval of the Procedure for Imports of Medicines into the Territory of Ukraine" has been developed to regulate the procedure for imports of medicines (except for active pharmaceutical ingredients) into Ukraine in order to ensure compliance with legislative requirements concerning the quality, safety, and efficacy of medicines in the process of their circulation._x000D_
The Procedure outlines key mechanisms for regulating imports, including certification and quality control of imported batches of medicines, release of imported medicines for circulation within Ukraine; and recording data related to the circulation of imported medicine batches in the State Register of Medicines Put into Circulation that are Imported into the Territory of Ukraine.</t>
  </si>
  <si>
    <d:r xmlns:d="http://schemas.openxmlformats.org/spreadsheetml/2006/main">
      <d:rPr>
        <d:sz val="11"/>
        <d:rFont val="Calibri"/>
      </d:rPr>
      <d:t xml:space="preserve">https://members.wto.org/crnattachments/2024/TBT/UKR/24_07730_00_e.pdf
https://members.wto.org/crnattachments/2024/TBT/UKR/24_07730_01_e.pdf
https://members.wto.org/crnattachments/2024/TBT/UKR/24_07730_02_e.pdf
https://members.wto.org/crnattachments/2024/TBT/UKR/24_07730_03_e.pdf</d:t>
    </d:r>
  </si>
  <si>
    <t>Law of Ukraine No 3947 “On Amendments to Certain Laws of Ukraine on Improving Food Safety and Quality” of 04 September 2024</t>
  </si>
  <si>
    <t xml:space="preserve">The Law governs issues related to the safety and quality of food products, including those intended for children, and implements EU Regulation (EC) No. 1925/2006 concerning the conditions for the use of trans fats, excluding those naturally occurring in fat of animal origin._x000D_
The Law also sets out labelling requirements for food products containing vegetable oils or fats. </t>
  </si>
  <si>
    <t>Food products </t>
  </si>
  <si>
    <t>67.040 - Food products in general; 67.200.10 - Animal and vegetable fats and oils</t>
  </si>
  <si>
    <d:r xmlns:d="http://schemas.openxmlformats.org/spreadsheetml/2006/main">
      <d:rPr>
        <d:sz val="11"/>
        <d:rFont val="Calibri"/>
      </d:rPr>
      <d:t xml:space="preserve">https://members.wto.org/crnattachments/2024/TBT/UKR/24_07716_00_e.pdf
https://members.wto.org/crnattachments/2024/TBT/UKR/24_07716_00_x.pdf</d:t>
    </d:r>
  </si>
  <si>
    <t>Emergency Measures to prevent Tomato Brown Rugose Fruit Virus (ToBRFV) from entering and spread within the Republic of Korea</t>
  </si>
  <si>
    <t xml:space="preserve">The Animal and Plant Quarantine Agency (APQA), Ministry of Agriculture, Food and Rural Affair (MAFRA) in the Republic of Korea, notified the “Measures to prevent Tomato Brown Rugose Fruit Virus (ToBRFV) from entering and spread within the Republic of Korea” on 17 July 2023 (G/SPS/N/KOR/783) and 19 June 2024 (G/SPS/N/KOR/783/Add.2). _x000D_
APQA has added distributed countries (regions) of Tomato Brown Rugose Fruit Virus (ToBRFV), as a one of the quarantine pests of Korea, which is based on the result of Pest Risk Analysis (PRA). The below five countries(regions) have been added as ToBRFV distributed countries(regions) and the import of seeds for sowing and seedlings (such as nursery/root stocks, cuttings and scions) of Capsicum spp. and Solanum lycopersicum from ToBRFV distributed countries (regions) will need to meet certain conditions for import to Korea (see Attachment 1 for details). _x000D_
Five countries (regions): Estonia, Ireland, Latvia, Lithuania, Australia (Region: South Australia) _x000D_
This measure regarding the added countries (Estonia, Ireland, Latvia, Lithuania, Australia (Region: South Australia)) will be applied on consignment shipped on and after 15 November 2024.</t>
  </si>
  <si>
    <t>Seeds for sowing and seedlings (such as nursery/root stocks, cuttings and scions) of Capsicum spp. and Solanum lycopersicum</t>
  </si>
  <si>
    <t>120991 - Vegetable seeds, for sowing</t>
  </si>
  <si>
    <t>Plant health; Pest- or Disease- free Regions / Regionalization; Plant diseases</t>
  </si>
  <si>
    <t>Albania; Argentina; South Australia (Australia); Austria; Belgium; Bulgaria; Canada; Shandon, Yunnan, Ningxia Hui, Shaanxi, Beijing, Liaoning (China); Cyprus; Czech Republic; Estonia; Finland; France; Germany; Greece; Hungary; Iran; Karnata Maharashtra (India); Ireland; Israel; Italy; Jordan; Latvia; Lebanese Republic; Lithuania; Malta; Mexico; Morocco; Netherlands; Norway; Palestine; Peru; Poland; Portugal; Russian Federation; Saudi Arabia, Kingdom of; Slovak Republic; Slovenia; Spain; Switzerland; England (United Kingdom); States of Florida (United States of America); Syrian Arab Republic; Türkiye; Uzbekistan</t>
  </si>
  <si>
    <d:r xmlns:d="http://schemas.openxmlformats.org/spreadsheetml/2006/main">
      <d:rPr>
        <d:sz val="11"/>
        <d:rFont val="Calibri"/>
      </d:rPr>
      <d:t xml:space="preserve">https://members.wto.org/crnattachments/2024/SPS/KOR/24_07694_00_e.pdf
https://members.wto.org/crnattachments/2024/SPS/KOR/24_07694_01_e.pdf</d:t>
    </d:r>
  </si>
  <si>
    <t>National Standard of the P.R.C., Safety design and production specification for copper and copper alloy melting and casting</t>
  </si>
  <si>
    <t xml:space="preserve">This document specifies the safety management and technical requirements for the engineering design, operation, management, and maintenance of production and supporting facilities for the smelting and casting processes in copper and copper alloy processing enterprises._x000D_
This document applies to the smelting and casting processes of new construction, expansion, and renovation projects for copper and copper alloy processing enterprises.</t>
  </si>
  <si>
    <t>the smelting and casting processes of copper and copper alloy processing enterprises involve equipment and facilities such as gas pipelines, combustion devices, melting furnaces, insulation furnaces, casting machines, transformers, air compressors, water pumps, cranes, dust collectors, gas detection and alarm devices, etc. (HS code(s): 39; 73; 84; 85); (ICS code(s): 13.100)</t>
  </si>
  <si>
    <t>39 - PLASTICS AND ARTICLES THEREOF; 73 - ARTICLES OF IRON OR STEEL; 84 - NUCLEAR REACTORS, BOILERS, MACHINERY AND MECHANICAL APPLIANCES; PARTS THEREOF; 85 - ELECTRICAL MACHINERY AND EQUIPMENT AND PARTS THEREOF; SOUND RECORDERS AND REPRODUCERS, TELEVISION IMAGE AND SOUND RECORDERS AND REPRODUCERS, AND PARTS AND ACCESSORIES OF SUCH ARTICLES</t>
  </si>
  <si>
    <t>13.100 - Occupational safety. Industrial hygiene</t>
  </si>
  <si>
    <d:r xmlns:d="http://schemas.openxmlformats.org/spreadsheetml/2006/main">
      <d:rPr>
        <d:sz val="11"/>
        <d:rFont val="Calibri"/>
      </d:rPr>
      <d:t xml:space="preserve">https://members.wto.org/crnattachments/2024/TBT/CHN/24_07726_00_x.pdf</d:t>
    </d:r>
  </si>
  <si>
    <t xml:space="preserve">Application for reassessment an approval – APP204694 application to reassess chlorpyrifos._x000D_
Staff Assessment Report: Application to reassess chlorpyrifos and chlorpyrifos containing substances. </t>
  </si>
  <si>
    <t>The EPA is proposing to revoke the approvals for all chlorpyrifos containing substances.The approvals under the Hazardous Substances and New Organisms Act 1996 for the import and manufacture for release for chlorpyrifos and chlorpyrifos containing substances are proposed to be revoked. It is proposed that there are non-negligible risks to the environment and to human health. These risks cannot be sufficiently mitigated through restrictions, to a point where the benefits would outweigh these risks. The EPA therefore proposes that the approvals should be revoked with a 6 month phase out period from the date of decision. Additional restrictions on the use of chlorpyrifos containing substances are proposed over the period of the restriction. The assessment of risks, benefits and the proposed revocation of the approvals are detailed in the application and staff assessment report.  Similar regulatory action has been undertaken by other regulators internationally, with chlorpyrifos not permitted for use in Canada and the European Union, and significant restriction in Australia. We also note that chlorpyrifos is proposed to be listed for elimination under the Stockholm Convention. </t>
  </si>
  <si>
    <t>Pesticides containing the active ingredient chlorpyrifos </t>
  </si>
  <si>
    <d:r xmlns:d="http://schemas.openxmlformats.org/spreadsheetml/2006/main">
      <d:rPr>
        <d:sz val="11"/>
        <d:rFont val="Calibri"/>
      </d:rPr>
      <d:t xml:space="preserve">https://www.epa.govt.nz/public-consultations/open-consultations/chlorpyrifos-reassessment
https://www.epa.govt.nz/database-search/hsno-application-register/view/APP204694</d:t>
    </d:r>
  </si>
  <si>
    <t>DARS 2116, Banku mix — Specification</t>
  </si>
  <si>
    <t>This Draft African standard specifies requirements, sampling and test methods for banku mix (flour and dough).</t>
  </si>
  <si>
    <t>Maize "corn" flour (HS code(s): 110220); Food products in general (ICS code(s): 67.040)</t>
  </si>
  <si>
    <t>110220 - Maize "corn" flour</t>
  </si>
  <si>
    <d:r xmlns:d="http://schemas.openxmlformats.org/spreadsheetml/2006/main">
      <d:rPr>
        <d:sz val="11"/>
        <d:rFont val="Calibri"/>
      </d:rPr>
      <d:t xml:space="preserve">https://members.wto.org/crnattachments/2024/SPS/KEN/24_07713_00_e.pdf</d:t>
    </d:r>
  </si>
  <si>
    <t>Established Maximum Residue Limits: Cyclaniliprole</t>
  </si>
  <si>
    <t>The proposed maximum residue limit (PMRL) document for cyclaniliprole notified in G/SPS/N/CAN/1541 (dated 15 December 2023) was adopted 7 November 2024. The proposed MRLs were established via entry into the Maximum Residue Limits Database and are provided directly below.MRL (ppm)1 Raw Agricultural Commodity (RAC) and/or Processed Commodity1.5                Peppers/Eggplants (crop subgroup 8-09B)0.7                Tomatoes (crop subgroup 8-09A)1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</si>
  <si>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cyclaniliprole in or on peppers and tomatoes (ICS: 65.020, 65.100, 67.040, 67.080) </t>
  </si>
  <si>
    <t>070200 - Tomatoes, fresh or chilled; 0904 - Pepper of the genus Piper; dried or crushed or ground fruits of the genus Capsicum or of the genus Pimenta; 0904 - Pepper of the genus Piper; dried or crushed or ground fruits of the genus Capsicum or of the genus Pimenta; 070200 - Tomatoes, fresh or chilled</t>
  </si>
  <si>
    <t>Maximum residue limits (MRLs); Pesticides; Food safety; Human health; Adoption/publication/entry into force of reg.; Human health; Food safety; Pesticides; Maximum residue limits (MRLs)</t>
  </si>
  <si>
    <t>Resolution governing the importation, for propagation, of rooted olive (Olea europaea) plants from Mexico Costa Rica hereby advises that the phytosanitary measures notified in document G/SPS/N/CRI/282 have been adopted under Resolution No. 071-CV-ARP-SFE of the State Phytosanitary Service, Standards and Regulations Department, Pest Risk Analysis Unit, establishing phytosanitary requirements for the importation, for propagation, of rooted olive (Olea europaea) plants from Mexico. The draft Resolution was circulated on 10 September 2024. The date of entry into force will be six months after signature of the final Resolution. https://members.wto.org/crnattachments/2024/SPS/CRI/24_07721_00_s.pdf</t>
  </si>
  <si>
    <t>Live olive (Olea europaea) plants, including their roots (HS code(s): 060290)</t>
  </si>
  <si>
    <d:r xmlns:d="http://schemas.openxmlformats.org/spreadsheetml/2006/main">
      <d:rPr>
        <d:sz val="11"/>
        <d:rFont val="Calibri"/>
      </d:rPr>
      <d:t xml:space="preserve">https://members.wto.org/crnattachments/2024/SPS/CRI/24_07721_00_s.pdf</d:t>
    </d:r>
  </si>
  <si>
    <t>Resolution governing the importation, for propagation, of rooted olive (Olea europaea) plants from Peru Costa Rica hereby advises that the phytosanitary measures notified in document G/SPS/N/CRI/283 have been adopted under Resolution No. 072-CV-ARP-SFE of the State Phytosanitary Service, Standards and Regulations Department, Pest Risk Analysis Unit, establishing phytosanitary requirements for the importation, for propagation, of rooted olive (Olea europaea) plants from Peru. The draft Resolution was circulated on 10 September 2024. The date of entry into force will be six months after signature of the final Resolution. https://members.wto.org/crnattachments/2024/SPS/CRI/24_07722_00_s.pdf</t>
  </si>
  <si>
    <d:r xmlns:d="http://schemas.openxmlformats.org/spreadsheetml/2006/main">
      <d:rPr>
        <d:sz val="11"/>
        <d:rFont val="Calibri"/>
      </d:rPr>
      <d:t xml:space="preserve">https://members.wto.org/crnattachments/2024/SPS/CRI/24_07722_00_s.pdf</d:t>
    </d:r>
  </si>
  <si>
    <t>Flashlight (Quality Control) Order, 2024</t>
  </si>
  <si>
    <t>Flashlight (Quality Control) Order, 2024A small, portable electric lamp powered by replaceable primary batteries and replaceable/built-in secondary batteries with a maximum voltage of 48 V DC</t>
  </si>
  <si>
    <t>Flashlight</t>
  </si>
  <si>
    <t>29.140 - Lamps and related equipment; 29.220 - Galvanic cells and batteries</t>
  </si>
  <si>
    <d:r xmlns:d="http://schemas.openxmlformats.org/spreadsheetml/2006/main">
      <d:rPr>
        <d:sz val="11"/>
        <d:rFont val="Calibri"/>
      </d:rPr>
      <d:t xml:space="preserve">https://members.wto.org/crnattachments/2024/TBT/IND/24_07729_00_e.pdf</d:t>
    </d:r>
  </si>
  <si>
    <t>DARS 2119, Dried shredded cassava (Abacha) - Specification</t>
  </si>
  <si>
    <t>This Draft African standard specifies the requirements, sampling and test methods for dried shredded cassava commonly referred to as Abacha for human consumption.</t>
  </si>
  <si>
    <t>Edible vegetables and certain roots and tubers (HS code(s): 07); Food products in general (ICS code(s): 67.040)</t>
  </si>
  <si>
    <d:r xmlns:d="http://schemas.openxmlformats.org/spreadsheetml/2006/main">
      <d:rPr>
        <d:sz val="11"/>
        <d:rFont val="Calibri"/>
      </d:rPr>
      <d:t xml:space="preserve">https://members.wto.org/crnattachments/2024/SPS/KEN/24_07712_00_e.pdf</d:t>
    </d:r>
  </si>
  <si>
    <t>Modifica Resolución Exenta No 5.018 de 2016 que establece requisitos fitosanitarios para la importación a Chile de turiones de espárragos (Asparagus officinalis) para consumo en estado fresco, procedentes de Perú (Amendment to Exempt Resolution No. 5.018 of 2016 establishing phytosanitary requirements governing the importation into Chile of fresh asparagus (Asparagus officinalis) spears for consumption from Peru).</t>
  </si>
  <si>
    <t>The notified measure amends Resolution No 5.018 as follows: • Subparagraph 1.1 of the operative part is replaced by: To be imported into the country, shipments must be covered by an official phytosanitary certificate (original copy) issued by SENASA, which contains an additional declaration stating that “The shipment has been inspected and been found free from Prodiplosis longifila.” • Subparagraph 1.2 of the operative part is replaced by: Shipments of asparagus spears must come from registered establishments, which have a unique producer code, have been officially verified by SENASA, and implement integrated pest management for the control of Prodiplosis longifila, which has been verified by SENASA. Further details can be found in the document attached to this notification.</t>
  </si>
  <si>
    <t>Asparagus (Asparagus officinalis) spears</t>
  </si>
  <si>
    <d:r xmlns:d="http://schemas.openxmlformats.org/spreadsheetml/2006/main">
      <d:rPr>
        <d:sz val="11"/>
        <d:rFont val="Calibri"/>
      </d:rPr>
      <d:t xml:space="preserve">https://members.wto.org/crnattachments/2024/SPS/CHL/24_07719_00_s.pdf
https://members.wto.org/crnattachments/2024/SPS/CHL/24_07719_01_s.pdf</d:t>
    </d:r>
  </si>
  <si>
    <t>National Standard of the P.R.C., Safety specification for aluminum electrolysis</t>
  </si>
  <si>
    <t xml:space="preserve">This document specifies the safety management, site selection, plant layout, and safety technical requirements for buildings, structures, equipment, and operations in aluminum electrolysis production._x000D_
This document applies to the safety management of plant building design, production processes, overhaul of electrolytic cell, anode assembly, ingot casting, flue gas purification, flue gas desulfurization, transportation, power systems, and maintenance activities within aluminum electrolysis enterprises. </t>
  </si>
  <si>
    <t>in the processes of aluminum electrolysis production, operation, and maintenance, the following equipment and facilities are involved: electrolytic cells, steel claws, slot controllers, pneumatic control cabinets, tamping machines, medium frequency furnaces, bunker level detectors, dust collectors, filter bags, pneumatic lifting equipment, molten aluminum transport vehicles, audible-visual alarms, multi-functional overhead cranes, air compressors, rectifier transformers, and insulation monitoring devices (HS code(s): 591190; 732599; 841410; 842139; 842619; 842832; 843061; 847141; 850434; 851439; 853110; 854330; 871680; 903084; 903180; 903289); (ICS code(s): 13.100)</t>
  </si>
  <si>
    <t>854330 - Machines and apparatus for electroplating, electrolysis or electrophoresis; 732599 - Cast articles of iron or steel, n.e.s. (excl. articles of non-malleable cast iron, and grinding balls and similar articles for mills); 847141 - Data-processing machines, automatic, comprising in the same housing at least a central processing unit, and one input unit and one output unit, whether or not combined (excl. portable weighing &lt;= 10 kg and excl. those presented in the form of systems and peripheral units); 903289 - Regulating or controlling instruments and apparatus (excl. hydraulic or pneumatic, manostats, thermostats, and taps, cocks and valves of heading 8481); 843061 - Tamping or compacting machinery, not self-propelled (excl. hand-operated tools); 851439 - Electric industrial or laboratory furnaces and ovens (excl. resistance heated, induction, dielectric, electron beam, plasma arc, vacuum arc and drying furnaces and ovens); 903180 - Instruments, appliances and machines for measuring or checking, not elsewhere specified in chapter 90 (excl. optical); 842139 - Machinery and apparatus for filtering or purifying gases (excl. isotope separators and intake air filters for internal combustion engines, and catalytic converters and particulate filters for purifying or filtering exhaust gases from internal combustion engines); 591190 - Textile products and articles, for technical purposes, specified in Note 7 to chapter 59, n.e.s.; 842832 - Continuous-action elevators and conveyors for goods or materials, bucket type (excl. for underground use); 871680 - Vehicles pushed or drawn by hand and other vehicles not mechanically propelled (excl. trailers and semi-trailers); 853110 - Burglar or fire alarms and similar apparatus; 842619 - Overhead travelling cranes, transporter cranes, gantry cranes, bridge cranes and mobile lifting frames (excl. overhead travelling cranes on fixed support, mobile lifting frames on tyres, straddle carriers and portal or pedestal jib cranes); 841410 - Vacuum pumps; 850434 - Transformers having a power handling capacity &gt; 500 kVA (excl. liquid dielectric transformers); 903084 - Instruments and apparatus for measuring or checking electrical quantities, with recording device (excl. appliances specially designed for telecommunications, multimeters, oscilloscopes and oscillographs, and apparatus for measuring or checking semiconductor wafers or devices)</t>
  </si>
  <si>
    <d:r xmlns:d="http://schemas.openxmlformats.org/spreadsheetml/2006/main">
      <d:rPr>
        <d:sz val="11"/>
        <d:rFont val="Calibri"/>
      </d:rPr>
      <d:t xml:space="preserve">https://members.wto.org/crnattachments/2024/TBT/CHN/24_07727_00_x.pdf</d:t>
    </d:r>
  </si>
  <si>
    <t>AFDC 22 (2947) DTZS:2024,Meat processing plant - Code of hygiene,First Edition.Note: This Draft Tanzania Standard was also notified under SPS committee</t>
  </si>
  <si>
    <t>This Draft Tanzania Standard prescribes the hygiene requirements in the production, handling, packing, storage and transportation of meat and meat products.</t>
  </si>
  <si>
    <t>MEAT AND EDIBLE MEAT OFFAL (HS code(s): 02); Food technology (ICS code(s): 67)</t>
  </si>
  <si>
    <t>02 - MEAT AND EDIBLE MEAT OFFAL</t>
  </si>
  <si>
    <d:r xmlns:d="http://schemas.openxmlformats.org/spreadsheetml/2006/main">
      <d:rPr>
        <d:sz val="11"/>
        <d:rFont val="Calibri"/>
      </d:rPr>
      <d:t xml:space="preserve">https://members.wto.org/crnattachments/2024/TBT/TZA/24_07709_00_e.pdf</d:t>
    </d:r>
  </si>
  <si>
    <t>TBS/AFDC 29 (816) DTZS ,Code of practice for the prevention and reduction of Ochratoxin A contamination in cocoa,First Edition.Note: This Draft Tanzania Standard was also notified under SPS committee</t>
  </si>
  <si>
    <t>This Draft Tanzania Standard specifies code of practices for prevention and reduction of Ochratoxin A (OTA)contamination in cocoa from the farm to the shipment and transportation.</t>
  </si>
  <si>
    <d:r xmlns:d="http://schemas.openxmlformats.org/spreadsheetml/2006/main">
      <d:rPr>
        <d:sz val="11"/>
        <d:rFont val="Calibri"/>
      </d:rPr>
      <d:t xml:space="preserve">https://members.wto.org/crnattachments/2024/TBT/TZA/24_07706_00_e.pdf</d:t>
    </d:r>
  </si>
  <si>
    <t>AFDC 22 (2962) DTZS:2024, Fresh Meat in Retail — Code of Hygiene, First Edition</t>
  </si>
  <si>
    <t>This standard provides hygiene requirements for fresh meat in retail sale for human consumption.Note: This Draft Tanzania Standard was also notified under TBT Committee.</t>
  </si>
  <si>
    <t>Meat and edible meat offal (HS code(s): 02); Food technology (ICS code(s): 67)</t>
  </si>
  <si>
    <d:r xmlns:d="http://schemas.openxmlformats.org/spreadsheetml/2006/main">
      <d:rPr>
        <d:sz val="11"/>
        <d:rFont val="Calibri"/>
      </d:rPr>
      <d:t xml:space="preserve">https://members.wto.org/crnattachments/2024/SPS/TZA/24_07704_00_e.pdf</d:t>
    </d:r>
  </si>
  <si>
    <t>AFDC 22 (2947) DTZS:2024, Meat processing plant - Code of hygiene, First Edition</t>
  </si>
  <si>
    <t>This Draft Tanzania Standard prescribes the hygiene requirements in the production, handling, packing, storage and transportation of meat and meat products.Note: This Draft Tanzania Standard was also notified under TBT Committee.</t>
  </si>
  <si>
    <d:r xmlns:d="http://schemas.openxmlformats.org/spreadsheetml/2006/main">
      <d:rPr>
        <d:sz val="11"/>
        <d:rFont val="Calibri"/>
      </d:rPr>
      <d:t xml:space="preserve">https://members.wto.org/crnattachments/2024/SPS/TZA/24_07703_00_e.pdf</d:t>
    </d:r>
  </si>
  <si>
    <t>TBS/AFDC 29(2969) DTZS:2024, Cocoa mass (liquor) — specificationFirst Edition</t>
  </si>
  <si>
    <t>This Draft Tanzania standard specifies the requirements, methods of sampling and test of cocoa mass (liquor) intended for human consumption.Note: This Draft Tanzania Standard was also notified under TBT Committee.</t>
  </si>
  <si>
    <d:r xmlns:d="http://schemas.openxmlformats.org/spreadsheetml/2006/main">
      <d:rPr>
        <d:sz val="11"/>
        <d:rFont val="Calibri"/>
      </d:rPr>
      <d:t xml:space="preserve">https://members.wto.org/crnattachments/2024/SPS/TZA/24_07700_00_e.pdf</d:t>
    </d:r>
  </si>
  <si>
    <t> AFDC 22 (2946) DTZS:2024,Poultry Processing - Code of Hygiene,First Edition.Note: This Draft Tanzania Standard was also notified under SPS committee</t>
  </si>
  <si>
    <t>This  Draft Tanzania Standard describes the hygiene requirements for the processing of poultry intended for human consumption whether by direct sale or through further processing. It covers all poultry species, poultry carcasses, poultry parts and other edible offal which have not been treated in any way to ensure their preservation except that they may have been chilled or frozen</t>
  </si>
  <si>
    <d:r xmlns:d="http://schemas.openxmlformats.org/spreadsheetml/2006/main">
      <d:rPr>
        <d:sz val="11"/>
        <d:rFont val="Calibri"/>
      </d:rPr>
      <d:t xml:space="preserve">https://members.wto.org/crnattachments/2024/TBT/TZA/24_07708_00_e.pdf</d:t>
    </d:r>
  </si>
  <si>
    <t>Application A1269 Cultured quail as a novel food. </t>
  </si>
  <si>
    <t>Food Standards Australia and New Zealand (FSANZ) is considering application A1269 which seeks to permit the sale of cultured quail cells, derived from embryonic fibroblasts of Japanese quail. The quail cells will be mixed with other ingredients to form products such as, but not limited to, logs, rolls and patties. The aspects of this application that are relevant to the TBT Committee are that:FSANZ is proposing a new regulatory framework consisting of two new standards and one new schedule:Standard 1.5.4 – Cell-cultured foodsSchedule 25A – Permitted cell-cultured foodsStandard 3.4.1 – Food safety requirements for processing of cell-cultured foodcell cultured foods will require the use of either the statement ‘cell-cultured’ or ‘cell-cultivated’ for food identification purposes.</t>
  </si>
  <si>
    <t>Cell-cultured quail, derived from embryonic fibroblasts of Japanese quail (Coturnix japonica)</t>
  </si>
  <si>
    <d:r xmlns:d="http://schemas.openxmlformats.org/spreadsheetml/2006/main">
      <d:rPr>
        <d:sz val="11"/>
        <d:rFont val="Calibri"/>
      </d:rPr>
      <d:t xml:space="preserve">https://www.foodstandards.gov.au/food-standards-code/applications/A1269-Cultured-Quail-as-a-Novel-Food</d:t>
    </d:r>
  </si>
  <si>
    <t>TBS/AFDC 29 (816) DTZS:2024, Code of practice for the prevention and reduction of Ochratoxin A contamination in cocoa, First Edition</t>
  </si>
  <si>
    <t>This Draft Tanzania standard specifies code of practices for prevention and reduction of Ochratoxin A (OTA)contamination in cocoa from the farm to the shipment and transportation.Note: This Draft Tanzania Standard was also notified under TBT Committee.</t>
  </si>
  <si>
    <t>Food safety; Human health; Ochratoxin; Mycotoxins; Toxins</t>
  </si>
  <si>
    <d:r xmlns:d="http://schemas.openxmlformats.org/spreadsheetml/2006/main">
      <d:rPr>
        <d:sz val="11"/>
        <d:rFont val="Calibri"/>
      </d:rPr>
      <d:t xml:space="preserve">https://members.wto.org/crnattachments/2024/SPS/TZA/24_07699_00_e.pdf</d:t>
    </d:r>
  </si>
  <si>
    <t>Revision of the Specifications and Standards for Foods, Food Additives, Etc. Under the Food Sanitation Act (final rule)</t>
  </si>
  <si>
    <t>As notified in G/SPS/N/JPN/1274 (dated 28 August 2024), deletion of the use standards for Methyl Cellulose and modification of the storage standards for Dimethyl Dicarbonate came into force on 5 November 2024.</t>
  </si>
  <si>
    <t>Food additives (Methyl Cellulose and Dimethyl Dicarbonate)</t>
  </si>
  <si>
    <d:r xmlns:d="http://schemas.openxmlformats.org/spreadsheetml/2006/main">
      <d:rPr>
        <d:sz val="11"/>
        <d:rFont val="Calibri"/>
      </d:rPr>
      <d:t xml:space="preserve">https://members.wto.org/crnattachments/2024/SPS/JPN/24_07695_00_e.pdf</d:t>
    </d:r>
  </si>
  <si>
    <t>TBS/ AFDC 29 (2967) DTZS, Drinking Chocolate — Specification, First Edition</t>
  </si>
  <si>
    <t>This Tanzania Standard specifies the requirements, methods of sampling and test of drinking chocolate intended for direct human consumption.Note: This Draft Tanzania Standard was also notified under TBT Committee.</t>
  </si>
  <si>
    <t>Cocoa and cocoa preparations (HS code(s): 18); Cocoa (ICS code(s): 67.140.30)</t>
  </si>
  <si>
    <t>18 - COCOA AND COCOA PREPARATIONS</t>
  </si>
  <si>
    <d:r xmlns:d="http://schemas.openxmlformats.org/spreadsheetml/2006/main">
      <d:rPr>
        <d:sz val="11"/>
        <d:rFont val="Calibri"/>
      </d:rPr>
      <d:t xml:space="preserve">https://members.wto.org/crnattachments/2024/SPS/TZA/24_07701_00_e.pdf</d:t>
    </d:r>
  </si>
  <si>
    <t>Draft Commission Implementing Decision amending Implementing Decision (EU) 2018/1538 as regards the update of harmonised technical conditions for short-range devices within the 874-876 and 915-921 MHz frequency bands </t>
  </si>
  <si>
    <t>This draft Commission Implementing Decision requires EU Member States to designate and make available on a non-exclusive, non-interference and non-protected basis the frequency bands for several categories of short-range devices (SRDs) which are subject to specific technical conditions, as laid down in the technical annex.</t>
  </si>
  <si>
    <t>Short-range devices (radio equipment)</t>
  </si>
  <si>
    <t>33.060.01 - Radiocommunications in general</t>
  </si>
  <si>
    <d:r xmlns:d="http://schemas.openxmlformats.org/spreadsheetml/2006/main">
      <d:rPr>
        <d:sz val="11"/>
        <d:rFont val="Calibri"/>
      </d:rPr>
      <d:t xml:space="preserve">https://members.wto.org/crnattachments/2024/TBT/EEC/24_07696_00_e.pdf
https://members.wto.org/crnattachments/2024/TBT/EEC/24_07696_01_e.pdf</d:t>
    </d:r>
  </si>
  <si>
    <t>TBS/ AFDC 29 (2967) DTZS,Drinking Chocolate — Specification,First Edition.Note: This Draft Tanzania Standard was also notified under SPS committee</t>
  </si>
  <si>
    <t>This Draft Tanzania Standard specifies the requirements, methods of sampling and test of Drinking Chocolate intended for direct human consumption.</t>
  </si>
  <si>
    <t>COCOA AND COCOA PREPARATIONS (HS code(s): 18); Food technology (ICS code(s): 67)</t>
  </si>
  <si>
    <d:r xmlns:d="http://schemas.openxmlformats.org/spreadsheetml/2006/main">
      <d:rPr>
        <d:sz val="11"/>
        <d:rFont val="Calibri"/>
      </d:rPr>
      <d:t xml:space="preserve">https://members.wto.org/crnattachments/2024/TBT/TZA/24_07707_00_e.pdf</d:t>
    </d:r>
  </si>
  <si>
    <t>TBS/AFDC 29(2969) DTZS, Cocoa mass (liquor) — specification,First Edition.Note: This Draft Tanzania Standard was also notified under SPS committee</t>
  </si>
  <si>
    <t>This Draft Tanzania standard specifies the requirements, methods of sampling and test of cocoa mass (liquor) intended for human consumption.</t>
  </si>
  <si>
    <d:r xmlns:d="http://schemas.openxmlformats.org/spreadsheetml/2006/main">
      <d:rPr>
        <d:sz val="11"/>
        <d:rFont val="Calibri"/>
      </d:rPr>
      <d:t xml:space="preserve">https://members.wto.org/crnattachments/2024/TBT/TZA/24_07705_00_e.pdf</d:t>
    </d:r>
  </si>
  <si>
    <t>TBS/AFDC 22 (2946) DTZS:2024, Poultry Processing - Code of Hygiene, First Edition</t>
  </si>
  <si>
    <t>This Tanzania Standard describes the hygiene requirements for the processing of poultry intended for human consumption whether by direct sale or through further processing. It covers all poultry species, poultry carcasses, poultry parts and other edible offal which have not been treated in any way to ensure their preservation except that they may have been chilled or frozen.Note: This Draft Tanzania Standard was also notified under TBT Committee.</t>
  </si>
  <si>
    <d:r xmlns:d="http://schemas.openxmlformats.org/spreadsheetml/2006/main">
      <d:rPr>
        <d:sz val="11"/>
        <d:rFont val="Calibri"/>
      </d:rPr>
      <d:t xml:space="preserve">https://members.wto.org/crnattachments/2024/SPS/TZA/24_07702_00_e.pdf</d:t>
    </d:r>
  </si>
  <si>
    <t>DARS 2115, Tapioca pearls — Specification</t>
  </si>
  <si>
    <t>This Draft African Standard specifies requirements, sampling and test methods for tapioca pearls intended for human consumption.</t>
  </si>
  <si>
    <t>Fresh, chilled, frozen or dried roots and tubers of manioc "cassava", whether or not sliced or in the form of pellets (HS code(s): 071410); Starch and derived products (ICS code(s): 67.180.20)</t>
  </si>
  <si>
    <t>071410 - Fresh, chilled, frozen or dried roots and tubers of manioc "cassava", whether or not sliced or in the form of pellets</t>
  </si>
  <si>
    <t>67.180.20 - Starch and derived products</t>
  </si>
  <si>
    <d:r xmlns:d="http://schemas.openxmlformats.org/spreadsheetml/2006/main">
      <d:rPr>
        <d:sz val="11"/>
        <d:rFont val="Calibri"/>
      </d:rPr>
      <d:t xml:space="preserve">https://members.wto.org/crnattachments/2024/SPS/KEN/24_07711_00_e.pdf</d:t>
    </d:r>
  </si>
  <si>
    <t>AFDC 22 (2962) DTZS:2024,Fresh Meat in Retail — Code of Hygiene,First Edition.Note: This Draft Tanzania Standard was also notified under SPS committee</t>
  </si>
  <si>
    <t>This Draft standard provides hygiene requirements for fresh meat in retail sale for human consumption.</t>
  </si>
  <si>
    <d:r xmlns:d="http://schemas.openxmlformats.org/spreadsheetml/2006/main">
      <d:rPr>
        <d:sz val="11"/>
        <d:rFont val="Calibri"/>
      </d:rPr>
      <d:t xml:space="preserve">https://members.wto.org/crnattachments/2024/TBT/TZA/24_07710_00_e.pdf</d:t>
    </d:r>
  </si>
  <si>
    <t>Import Health Requirements for Pet food</t>
  </si>
  <si>
    <t>Import health requirements such as quarantine requirements and sanitary conditions of the exporting country with regards to pet food that are exported from a foreign country into the Republic of Korea.</t>
  </si>
  <si>
    <t>Pet food</t>
  </si>
  <si>
    <t>2309 - Preparations of a kind used in animal feeding</t>
  </si>
  <si>
    <d:r xmlns:d="http://schemas.openxmlformats.org/spreadsheetml/2006/main">
      <d:rPr>
        <d:sz val="11"/>
        <d:rFont val="Calibri"/>
      </d:rPr>
      <d:t xml:space="preserve">https://members.wto.org/crnattachments/2024/SPS/KOR/24_07679_00_x.pdf</d:t>
    </d:r>
  </si>
  <si>
    <t>Addition of Quarantine Pest List</t>
  </si>
  <si>
    <t>The Animal and Plant Quarantine Agency (APQA), Ministry of Agriculture, Food and Rural Affairs (MAFRA) in the Republic of Korea, has amended the quarantine pest list which is based on the result of a Pest Risk Analysis (PRA) and in accordance with the provisions of Articles 4 and 6 of the Ministerial Ordinance of the Plant Protection Act.The APQA notifies to add 36 quarantine pest species from June 2025. The information is detailed in the attachment.</t>
  </si>
  <si>
    <t>Plants or plant products imported into Korea</t>
  </si>
  <si>
    <t>07 - EDIBLE VEGETABLES AND CERTAIN ROOTS AND TUBERS; 06 - LIVE TREES AND OTHER PLANTS; BULBS, ROOTS AND THE LIKE; CUT FLOWERS AND ORNAMENTAL FOLIAGE; 08 - EDIBLE FRUIT AND NUTS; PEEL OF CITRUS FRUITS OR MELONS; 06 - LIVE TREES AND OTHER PLANTS; BULBS, ROOTS AND THE LIKE; CUT FLOWERS AND ORNAMENTAL FOLIAGE; 08 - EDIBLE FRUIT AND NUTS; PEEL OF CITRUS FRUITS OR MELONS; 08 - EDIBLE FRUIT AND NUTS; PEEL OF CITRUS FRUITS OR MELONS; 07 - EDIBLE VEGETABLES AND CERTAIN ROOTS AND TUBERS; 06 - LIVE TREES AND OTHER PLANTS; BULBS, ROOTS AND THE LIKE; CUT FLOWERS AND ORNAMENTAL FOLIAGE; 07 - EDIBLE VEGETABLES AND CERTAIN ROOTS AND TUBERS</t>
  </si>
  <si>
    <t>Fruit fly; Pests; Plant health; Plant health; Fruit fly; Pests</t>
  </si>
  <si>
    <d:r xmlns:d="http://schemas.openxmlformats.org/spreadsheetml/2006/main">
      <d:rPr>
        <d:sz val="11"/>
        <d:rFont val="Calibri"/>
      </d:rPr>
      <d:t xml:space="preserve">https://members.wto.org/crnattachments/2024/SPS/KOR/24_07680_00_e.pdf</d:t>
    </d:r>
  </si>
  <si>
    <t>Application A1269 Cultured quail as a novel food</t>
  </si>
  <si>
    <t>Food Standards Australia and New Zealand (FSANZ) is considering application A1269 which seeks to permit the sale of cultured quail cells, derived from embryonic fibroblasts of Japanese quail. The quail cells will be mixed with other ingredients to form products such as, but not limited to, logs, rolls and patties. The aspects of this application that are relevant to the TBT Committee are that:FSANZ is proposing a new regulatory framework consisting of two new standards and one new schedule:o              Standard 1.5.4 – Cell-cultured foodso              Schedule 25A – Permitted cell-cultured foodso              Standard 3.4.1 – Food safety requirements for processing of cell-cultured foodcell cultured foods will require the use of either the statement ‘cell-cultured’ or ‘cell-cultivated’ for food identification purposes.</t>
  </si>
  <si>
    <t>Cell-cultured quail derived from embryonic fibroblasts of Japanese quail (Coturnix japonica)</t>
  </si>
  <si>
    <t>DEAS 18-1: 2024, Cement — Part 1: Composition, specification and conformity criteria for common cements, Second Edition</t>
  </si>
  <si>
    <t>This draft East African Standard gives the specifications which include mechanical, physical and chemical requirements of 27 distinct common cements, seven sulphate resisting common cements as well as three distinct low early strength blast furnace cements and two sulphate resisting low early strength blast cements and their constituents.</t>
  </si>
  <si>
    <t>Glaziers' putty, grafting putty, resin cements, caulking compounds and other mastics; painters' fillings (HS code(s): 321410); Construction materials (ICS code(s): 91.100)</t>
  </si>
  <si>
    <t>321410 - Glaziers' putty, grafting putty, resin cements, caulking compounds and other mastics; painters' fillings</t>
  </si>
  <si>
    <t>91.100 - Construction materials</t>
  </si>
  <si>
    <t>Consumer information, labelling (TBT); Prevention of deceptive practices and consumer protection (TBT); Protection of human health or safety (TBT); Quality requirements (TBT); Harmonization (TBT); Reducing trade barriers and facilitating trade (TBT); Cost saving and productivity enhancement (TBT)</t>
  </si>
  <si>
    <d:r xmlns:d="http://schemas.openxmlformats.org/spreadsheetml/2006/main">
      <d:rPr>
        <d:sz val="11"/>
        <d:rFont val="Calibri"/>
      </d:rPr>
      <d:t xml:space="preserve">https://members.wto.org/crnattachments/2024/TBT/TZA/24_07655_00_e.pdf</d:t>
    </d:r>
  </si>
  <si>
    <t>DEAS 131-1: 2024, Concrete —Part 1: Specification, performance, production and conformity, Second Edition</t>
  </si>
  <si>
    <t>This draft East African Standard applies to concrete for structures cast in situ, precast structures, and structural precast products for buildings and civil engineering structure.</t>
  </si>
  <si>
    <t>Refractory cements, mortars, concretes and similar compositions, including dolomite ramming mix, other than products of heading 38.01. (HS code(s): 3816); Construction materials (ICS code(s): 91.100)</t>
  </si>
  <si>
    <t>3816 - Refractory cements, mortars, concretes and similar compositions, including dolomite ramming mix, other than products of heading 38.01.</t>
  </si>
  <si>
    <t>Prevention of deceptive practices and consumer protection (TBT); Quality requirements (TBT); Harmonization (TBT); Reducing trade barriers and facilitating trade (TBT); Cost saving and productivity enhancement (TBT)</t>
  </si>
  <si>
    <d:r xmlns:d="http://schemas.openxmlformats.org/spreadsheetml/2006/main">
      <d:rPr>
        <d:sz val="11"/>
        <d:rFont val="Calibri"/>
      </d:rPr>
      <d:t xml:space="preserve">https://members.wto.org/crnattachments/2024/TBT/TZA/24_07650_00_e.pdf</d:t>
    </d:r>
  </si>
  <si>
    <t xml:space="preserve">DEAS 489:2024, Concrete poles for telephone, power and lighting purposes —_x000D_
Specification, Second Edition</t>
  </si>
  <si>
    <t>This draft East African Standard specifies the characteristics of pre-cast reinforced, partially prestressed and prestressed concrete poles, sampling and test method Possible uses for the poles include electrical reticulation and distribution, railway traction, telephone line support, street lighting standards and high mast lighting structures.</t>
  </si>
  <si>
    <t>Prefabricated structural components for building or civil engineering of cement, concrete or artificial stone, whether or not reinforced (HS code(s): 681091); Construction materials (ICS code(s): 91.100)</t>
  </si>
  <si>
    <t>681091 - Prefabricated structural components for building or civil engineering of cement, concrete or artificial stone, whether or not reinforced</t>
  </si>
  <si>
    <d:r xmlns:d="http://schemas.openxmlformats.org/spreadsheetml/2006/main">
      <d:rPr>
        <d:sz val="11"/>
        <d:rFont val="Calibri"/>
      </d:rPr>
      <d:t xml:space="preserve">https://members.wto.org/crnattachments/2024/TBT/TZA/24_07665_00_e.pdf</d:t>
    </d:r>
  </si>
  <si>
    <t>DEAS 148-2: 2024, Cement — Test methods — Part 2: Chemical analysis, Second Edition</t>
  </si>
  <si>
    <t xml:space="preserve">This draft East African Standard specifies the methods for the chemical analysis of cement._x000D_
The standard describes the reference methods and, in certain cases, an alternative method which can be considered to be equivalent. In the case of dispute, only the reference methods are used._x000D_
The standard also describes methods which apply principally to cements, but which can also be applied to their constituent materials and other materials._x000D_
An alternative performance-based method using X-ray fluorescence (XRF) is described for SiO2, Al2O3, Fe2O3, CaO, MgO, SO3, K2O, Na2O, TiO2, P2O5, Mn2O3, SrO, Cl and Br.</t>
  </si>
  <si>
    <d:r xmlns:d="http://schemas.openxmlformats.org/spreadsheetml/2006/main">
      <d:rPr>
        <d:sz val="11"/>
        <d:rFont val="Calibri"/>
      </d:rPr>
      <d:t xml:space="preserve">https://members.wto.org/crnattachments/2024/TBT/TZA/24_07645_00_e.pdf</d:t>
    </d:r>
  </si>
  <si>
    <t>Rectification of Inmetro Ordinance No. 140, 21 March 2022, published in the Official Gazette of the Union on 30 August 2022, section 1, pages 154 to 177.</t>
  </si>
  <si>
    <t>The rectification text is available only in Portuguese and can be downloaded at:</t>
  </si>
  <si>
    <t>Systems and Equipment for Photovoltaic Energy.</t>
  </si>
  <si>
    <t>27.160 - Solar energy engineering; 27.160 - Solar energy engineering; 27.160 - Solar energy engineering</t>
  </si>
  <si>
    <d:r xmlns:d="http://schemas.openxmlformats.org/spreadsheetml/2006/main">
      <d:rPr>
        <d:sz val="11"/>
        <d:rFont val="Calibri"/>
      </d:rPr>
      <d:t xml:space="preserve">https://members.wto.org/crnattachments/2024/TBT/BRA/24_07674_00_x.pdf</d:t>
    </d:r>
  </si>
  <si>
    <t>DEAS 416: 2024, Building and civil engineering — Parts of construction works — Roofs and roofing vocabulary, Second Edition</t>
  </si>
  <si>
    <t>This draft East African Standard describes the terms and definitions covering parts of construction works of roof and roofing applied in building and civil engineering</t>
  </si>
  <si>
    <d:r xmlns:d="http://schemas.openxmlformats.org/spreadsheetml/2006/main">
      <d:rPr>
        <d:sz val="11"/>
        <d:rFont val="Calibri"/>
      </d:rPr>
      <d:t xml:space="preserve">https://members.wto.org/crnattachments/2024/TBT/TZA/24_07660_00_e.pdf</d:t>
    </d:r>
  </si>
  <si>
    <t>Letter of the Committee for Veterinary Control and Surveillance of the Ministry of Agriculture of Kazakhstan on lifting from 7 June 2024 the temporary restrictions on import and transit to/through Kazakhstan from the territory of the Altai Republic, the Nenets Autonomous Okrug, the Republic of Adygea, the Republic of Ingushetia, the Chechen Republic, the Republic of Kalmykia and the Zabaykalsky Krai of the Russian Federation of live pigs and boar sperm, pork meat, including from wild boars and its processed products that have not undergone heat treatment (at least 70 °C for at least 30 minutes), leather, horn and hoof and intestinal raw materials, bristles, hunting trophies obtained from susceptible species of animals, feed and feed additives for animals of animal origin, including poultry and fish, used equipment for transporting pigs, products and raw materials of animal origin, keeping, slaughtering and cutting pigs</t>
  </si>
  <si>
    <t>Kazakhstan notified in G/SPS/N/KAZ/155 (4 December 2023) the Letter of the Committee for Veterinary Control and Surveillance of the Ministry of Agriculture of Kazakhstan on the introduction of temporary restrictions on the importation into the territory of Kazakhstan from the Russian Federation of live pigs and boar semen, pork meat, including wild boar, and its processed products that have not undergone heat treatment (at least 70 °C for at least 30 minutes), leather, horn and intestinal raw materials, bristles, hunting trophies obtained from susceptible animal species, feed and feed additives for animals of plant and animal origin, including poultry and fish, feed additives for cats and dogs that have not undergone heat treatment (at least 70 °C for at least 30 minutes), used equipment for transporting pigs, products and raw materials of animal origin, keeping, slaughtering and cutting pigs susceptible to African swine fever.The notified measure was modified by the Letter of the Committee for Veterinary Control and Surveillance of the Ministry of Agriculture of Kazakhstan.</t>
  </si>
  <si>
    <t>Live pig and boar semen, pork meat, leather, horn and intestinal raw materials, bristles, hunting trophies, feed and feed additives, used equipment for transporting pigs</t>
  </si>
  <si>
    <t>93 - ARMS AND AMMUNITION; PARTS AND ACCESSORIES THEREOF; 84 - NUCLEAR REACTORS, BOILERS, MACHINERY AND MECHANICAL APPLIANCES; PARTS THEREOF; 43 - FURSKINS AND ARTIFICIAL FUR; MANUFACTURES THEREOF; 23 - RESIDUES AND WASTE FROM THE FOOD INDUSTRIES; PREPARED ANIMAL FODDER; 05 - PRODUCTS OF ANIMAL ORIGIN, NOT ELSEWHERE SPECIFIED OR INCLUDED; 02 - MEAT AND EDIBLE MEAT OFFAL; 01 - LIVE ANIMALS; 93 - ARMS AND AMMUNITION; PARTS AND ACCESSORIES THEREOF; 84 - NUCLEAR REACTORS, BOILERS, MACHINERY AND MECHANICAL APPLIANCES; PARTS THEREOF; 43 - FURSKINS AND ARTIFICIAL FUR; MANUFACTURES THEREOF; 23 - RESIDUES AND WASTE FROM THE FOOD INDUSTRIES; PREPARED ANIMAL FODDER; 05 - PRODUCTS OF ANIMAL ORIGIN, NOT ELSEWHERE SPECIFIED OR INCLUDED; 02 - MEAT AND EDIBLE MEAT OFFAL; 01 - LIVE ANIMALS</t>
  </si>
  <si>
    <t>African swine fever (ASF); Withdrawal of the measure; Animal diseases; Food safety; Animal health; Human health; African swine fever (ASF); Animal diseases; Food safety; Animal health; Human health</t>
  </si>
  <si>
    <t>Letter of the Committee for Veterinary Control and Surveillance of the Ministry of Agriculture of Kazakhstan on the introduction of temporary restrictions on the importation to the territory of Kazakhstan from Bekes County in Hungary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</si>
  <si>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(WOAH), an outbreak of highly pathogenic avian influenza was registered in Bekes County in Hungary. In this regard, since 3 June 2024, temporary restrictions have been introduced on the importation to the territory of Kazakhstan from the territory of Bekes County in Hungary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(game birds), used equipment for keeping, slaughtering and cutting birds, as well as for transit from the above territory through the territory of Kazakhstan of live birds.</t>
  </si>
  <si>
    <t>Bekes County, Hungary</t>
  </si>
  <si>
    <t>Letter of the Committee for Veterinary Control and Surveillance of the Ministry of Agriculture of Kazakhstan on lifting the temporary restrictions on import and transit to/through Kazakhstan from 22 May 2024, introduced due to African swine fever, from territories of the Russian Federation free of African swine fever (Republic of Buryatia, Republic of Dagestan, Kabardino‑Balkarian Republic, Karachay-Cherkess Republic, Komi Republic, Republic of Karelia, Republic of Mordovia, Sakha Republic, Tyva Republic, Republic of Khakassia, Altai Krai, Kamchatka Krai, Perm Krai, Bryansk Oblast, Vologda Oblast, Irkutsk Oblast, Kemerovo Oblast, Kurgan Oblast, Leningrad Oblast, Lipetsk Oblast, Magadan Oblast, Murmansk Oblast, Novosibirsk Oblast, Saratov Oblast, Sakhalin Oblast, Sverdlovsk Oblast, Tomsk Oblast, Tyumen Oblast, Ulyanovsk Oblast, Moscow, St. Petersburg, Chukotka Autonomous Okrug, Yamalo‑Nenets Autonomous Okrug) of live pigs and boar semen, pork meat, including from wild boars and its processed products that have not undergone heat treatment (at least 70 °C for at least 30 minutes), leather, horn and hoof and food raw materials, bristles, hunting trophies obtained from susceptible animal species, feed and feed additives for animals of animal origin, including from birds and fish, used equipment for transporting pigs, products and raw materials of animal origin, keeping, slaughtering and cutting pigs</t>
  </si>
  <si>
    <t>01 - LIVE ANIMALS; 02 - MEAT AND EDIBLE MEAT OFFAL; 05 - PRODUCTS OF ANIMAL ORIGIN, NOT ELSEWHERE SPECIFIED OR INCLUDED; 23 - RESIDUES AND WASTE FROM THE FOOD INDUSTRIES; PREPARED ANIMAL FODDER; 43 - FURSKINS AND ARTIFICIAL FUR; MANUFACTURES THEREOF; 84 - NUCLEAR REACTORS, BOILERS, MACHINERY AND MECHANICAL APPLIANCES; PARTS THEREOF; 93 - ARMS AND AMMUNITION; PARTS AND ACCESSORIES THEREOF; 84 - NUCLEAR REACTORS, BOILERS, MACHINERY AND MECHANICAL APPLIANCES; PARTS THEREOF; 43 - FURSKINS AND ARTIFICIAL FUR; MANUFACTURES THEREOF; 23 - RESIDUES AND WASTE FROM THE FOOD INDUSTRIES; PREPARED ANIMAL FODDER; 05 - PRODUCTS OF ANIMAL ORIGIN, NOT ELSEWHERE SPECIFIED OR INCLUDED; 02 - MEAT AND EDIBLE MEAT OFFAL; 01 - LIVE ANIMALS; 93 - ARMS AND AMMUNITION; PARTS AND ACCESSORIES THEREOF</t>
  </si>
  <si>
    <t>Energy Conservation Program: Product Classes for Residential Dishwashers, Residential Clothes Washers, and Consumer Clothes Dryers</t>
  </si>
  <si>
    <t xml:space="preserve">In light of the United States Court of Appeals for the Fifth 
Circuit granting a petition for review of a final rule published by the 
U.S. Department of Energy ("DOE") on 19 January 2022, and remanding 
the matter to DOE for further proceedings, DOE issued a
request for information on whether “short-cycle” product classes for 
dishwashers, residential clothes washers, and consumer clothes dryers 
are warranted under the Energy Policy and Conservation Act. In this 
document, DOE considers the factors outlined by the Fifth Circuit and 
proposes to confirm the elimination of “short-cycle” product classes 
in the 19 January 2022, final rule.&gt;DOE will accept comments, data, and information regarding this 
proposal no later than 9 December 2024. See section IV, “Public 
Participation,” for details.89 Federal Register (FR) 88661, Title 10 Code of Federal Regulations (CFR) Part 430_x000D_
https://www.govinfo.gov/content/pkg/FR-2024-11-08/html/2024-25617.htm_x000D_
https://www.govinfo.gov/content/pkg/FR-2024-11-08/pdf/2024-25617.pdfThis notification of proposed confirmation of withdrawal; request 
for comment and a request for information notified as G/TBT/N/USA/1762/Add.2 are identified by Docket Number EERE-2024-BT-STD-0002. The Docket Folder is available on Regulations.gov at https://www.regulations.gov/docket/EERE-2024-BT-STD-0002/document and provides access to primary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9 December 2024 will be shared with DOE and will also be submitted to the Docket on Regulations.gov if received within the comment period.Other actions notified under the symbol G/TBT/N/USA/1762 are identified by Docket Number EERE-2021-BT-STD-0002_x000D_
</t>
  </si>
  <si>
    <t>Residential dishwashers, residential clothes washers, and consumer clothes dryers</t>
  </si>
  <si>
    <t>842211 - Dish-washing machines of the household type; 8450 - Household or laundry-type washing machines, incl. machines which both wash and dry; parts thereof; 842211 - Dish-washing machines of the household type; 8450 - Household or laundry-type washing machines, incl. machines which both wash and dry; parts thereof</t>
  </si>
  <si>
    <t>13.020 - Environmental protection; 13.020 - Environmental protection; 97.040.40 - Dishwashers; 97.040.40 - Dishwashers; 97.060 - Laundry appliances; 97.060 - Laundry appliances</t>
  </si>
  <si>
    <d:r xmlns:d="http://schemas.openxmlformats.org/spreadsheetml/2006/main">
      <d:rPr>
        <d:sz val="11"/>
        <d:rFont val="Calibri"/>
      </d:rPr>
      <d:t xml:space="preserve">https://members.wto.org/crnattachments/2024/TBT/USA/24_07671_00_e.pdf</d:t>
    </d:r>
  </si>
  <si>
    <t>Letter of the Committee for Veterinary Control and Surveillance of the Ministry of Agriculture of Kazakhstan on lifting from 17 July 2024 the temporary restrictions on import and transit to/through Kazakhstan from the territory of the Tambov Region of the Russian Federation of live pigs and boar semen, pork meat, including from wild boars and its processed products that have not undergone heat treatment (at least 70 °C for at least 30 minutes), leather, horn and hoof and intestinal raw materials, bristles, hunting trophies obtained from susceptible animal species, feed and feed additives for animals of animal origin, including poultry and fish, used equipment for transporting pigs, products and raw materials of animal origin, keeping, slaughtering and cutting pigs</t>
  </si>
  <si>
    <t>Kazakhstan notified in G/SPS/N/KAZ/155 (4 December 2023) the Letter of the Committee for Veterinary Control and Surveillance of the Ministry of Agriculture of Kazakhstan on the introduction of temporary restrictions on the importation into the territory of Kazakhstan from the Tambov region of the Russian Federation of live pigs, boar semen, pork, including from wild boars, and its processed products, leather, horn and intestinal raw materials, bristles, hunting trophies obtained from susceptible animal species, feed and feed additives for animals of plant and animal origin, including from poultry and fish, feed additives for cats and dogs that have not undergone heat treatment, used equipment for the transportation of pigs, products and raw materials of animal origin, keeping, slaughtering and cutting of pigs.The notified measure was modified by the Letter of the Committee for Veterinary Control and Surveillance of the Ministry of Agriculture of Kazakhstan.</t>
  </si>
  <si>
    <t>01 - LIVE ANIMALS; 02 - MEAT AND EDIBLE MEAT OFFAL; 05 - PRODUCTS OF ANIMAL ORIGIN, NOT ELSEWHERE SPECIFIED OR INCLUDED; 23 - RESIDUES AND WASTE FROM THE FOOD INDUSTRIES; PREPARED ANIMAL FODDER; 43 - FURSKINS AND ARTIFICIAL FUR; MANUFACTURES THEREOF; 84 - NUCLEAR REACTORS, BOILERS, MACHINERY AND MECHANICAL APPLIANCES; PARTS THEREOF; 93 - ARMS AND AMMUNITION; PARTS AND ACCESSORIES THEREOF; 93 - ARMS AND AMMUNITION; PARTS AND ACCESSORIES THEREOF; 84 - NUCLEAR REACTORS, BOILERS, MACHINERY AND MECHANICAL APPLIANCES; PARTS THEREOF; 43 - FURSKINS AND ARTIFICIAL FUR; MANUFACTURES THEREOF; 23 - RESIDUES AND WASTE FROM THE FOOD INDUSTRIES; PREPARED ANIMAL FODDER; 05 - PRODUCTS OF ANIMAL ORIGIN, NOT ELSEWHERE SPECIFIED OR INCLUDED; 02 - MEAT AND EDIBLE MEAT OFFAL; 01 - LIVE ANIMALS</t>
  </si>
  <si>
    <t>Letter of the Committee for Veterinary Control and Surveillance of the Ministry of Agriculture of Kazakhstan on the introduction of temporary restrictions on the importation to the territory of Kazakhstan from the Nitra region of the Slovak Republic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</si>
  <si>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(WAHIS), an outbreak of highly pathogenic avian influenza was registered in the Nitra region of the Slovak Republic. In this regard, since 28 October 2024, temporary restrictions have been introduced on the importation to the territory of Kazakhstan from the territory of the Nitra region of the Slovak Republic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(game birds), used equipment for keeping, slaughtering and cutting birds, as well as for transit from the above territory through the territory of Kazakhstan of live birds. With regard to the above-mentioned goods shipped before 28 October 2024, the decision to let them pass is made in the usual manner.</t>
  </si>
  <si>
    <t>Live poultry and hatching eggs, down and feathers, poultry meat and all types of poultry products, feed and feed additives for birds, hunting trophies, used equipment for keeping, slaughtering and cutting birds live poultry and hatching eggs, down and feathers, poultry meat and all types of poultry products, feed and feed additives for birds, hunting trophies, used equipment for keeping, slaughtering and cutting birds</t>
  </si>
  <si>
    <t>Nitra region, Slovak Republic</t>
  </si>
  <si>
    <t>Bangladesh</t>
  </si>
  <si>
    <t xml:space="preserve">Soy Sauce (Draft for First rev.)_x000D_
_x000D_
</t>
  </si>
  <si>
    <t>This standard for Soy Sauce specifies the national requirements, methods of sampling and test for edible purposes. This includes requirements for different types of soy sauce i.e. light, dark and salty soy sauce along with their ingredients; guideline for food additives and food preservatives used for the product; hygienic and legal requirements; and the packaging and marking provision for the product. In addition, various food safety parameters (e.g. heavy metal and microbiological limits) have also been included in the standard. </t>
  </si>
  <si>
    <t>(ICS code(s): 67.040) Soy Sauce</t>
  </si>
  <si>
    <t>210310 - Soya sauce</t>
  </si>
  <si>
    <t>Letter of the Committee for Veterinary Control and Surveillance of the Ministry of Agriculture of Kazakhstan  on the introduction of temporary restrictions on the importation to the territory of Kazakhstan from the administrative territory of Edeshög of Sweden of live poultry and hatching eggs, poultry meat and all types of poultry products that have not undergone heat treatment, feed and feed additives for birds,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</si>
  <si>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(WAHIS), an outbreak of Newcastle disease was registered in the administrative territory of Edeshög of Sweden. In this regard, since 24 October 2024, temporary restrictions have been introduced on the importation to the territory of Kazakhstan from the administrative territory of Edeshög of Sweden of live poultry and hatching eggs, poultry meat and all types of poultry products that have not undergone heat treatment (at least 70 ºС), feed and feed additives for birds (except for feed additives of plant origin, chemical and microbiological synthesis), as well as used equipment for keeping, slaughtering and cutting birds, as well as transit from the above territory through the territory of Kazakhstan of live poultry. With regard to the above-mentioned goods shipped before 24 October 2024, the decision to let them pass is made in the usual manner.</t>
  </si>
  <si>
    <t>Live poultry and hatching eggs, poultry meat and all types of poultry products, feed and feed additives for birds, used equipment for keeping, slaughtering and cutting birds</t>
  </si>
  <si>
    <t>01 - LIVE ANIMALS; 02 - MEAT AND EDIBLE MEAT OFFAL; 04 - DAIRY PRODUCE; BIRDS' EGGS; NATURAL HONEY; EDIBLE PRODUCTS OF ANIMAL ORIGIN, NOT ELSEWHERE SPECIFIED OR INCLUDED; 23 - RESIDUES AND WASTE FROM THE FOOD INDUSTRIES; PREPARED ANIMAL FODDER; 84 - NUCLEAR REACTORS, BOILERS, MACHINERY AND MECHANICAL APPLIANCES; PARTS THEREOF</t>
  </si>
  <si>
    <t>Edeshög, Sweden</t>
  </si>
  <si>
    <t>Letter of the Committee for Veterinary Control and Surveillance of the Ministry of Agriculture of Kazakhstan on the introduction of temporary restrictions on the importation to the territory of Kazakhstan from the Federal State of Bavaria of Germany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</si>
  <si>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(WAHIS), an outbreak of highly pathogenic avian influenza was registered in the Federal State of Bavaria of Germany. In this regard, since 31 October 2024, temporary restrictions have been introduced on the importation to the territory of Kazakhstan from the territory of the Federal State of Bavaria of Germany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(game birds), used equipment for keeping, slaughtering and cutting birds, as well as for transit from the above territory through the territory of Kazakhstan of live birds. With regard to the above-mentioned goods shipped before 31 October 2024, the decision to let them pass is made in the usual manner.</t>
  </si>
  <si>
    <t>Federal State of Bavaria, Germany</t>
  </si>
  <si>
    <t>Ordinance No. 583, 1 November 2024</t>
  </si>
  <si>
    <t>National Institute of Metrology, Quality and Technology - Inmetro, issued Ordinance No. 583, 1 November 2024, to approves the conformity assessment requirements for hot rolled steel angles for assembly of electric power transmission towers - Consolidated.The Inmetro Ordinances are revoked within 36 (thirty-six) months from the effective date of this Ordinance:I - nº 178, 18 July 2006, published in the Official Gazette of the Union on 19 July 2006, section 1, page 73; andII - No. 261, 12 July 2007, published in the Official Gazette of the Union on 18 July 2007, section 1, pages 101 to 102.</t>
  </si>
  <si>
    <t>Angles, shapes and sections of iron or non-alloy steel. (HS code(s): 7216)</t>
  </si>
  <si>
    <t>7216 - Angles, shapes and sections of iron or non-alloy steel, n.e.s.; 7216 - Angles, shapes and sections of iron or non-alloy steel, n.e.s.</t>
  </si>
  <si>
    <t>29.240 - Power transmission and distribution networks; 29.240 - Power transmission and distribution networks; 77.140 - Iron and steel products; 77.140 - Iron and steel products</t>
  </si>
  <si>
    <d:r xmlns:d="http://schemas.openxmlformats.org/spreadsheetml/2006/main">
      <d:rPr>
        <d:sz val="11"/>
        <d:rFont val="Calibri"/>
      </d:rPr>
      <d:t xml:space="preserve">https://members.wto.org/crnattachments/2024/TBT/BRA/final_measure/24_07675_00_x.pdf</d:t>
    </d:r>
  </si>
  <si>
    <t>Honduras</t>
  </si>
  <si>
    <t>Regulations implementing the Law on the Control and Regulation of Energy Drinks</t>
  </si>
  <si>
    <t xml:space="preserve">The Government of the Republic of Honduras hereby advises that the comment period for the Regulations implementing the Law on the Control and Regulation of Energy Drinks, notified on 13 September 2024 in document G/TBT/N/HND/102, has been extended to 11 December 2024. The text can be viewed online at the website address below. Agency or authority designated to handle comments: Agencia de Regulación Sanitaria, ARSA (Agency for Sanitary Regulation) Dirección de Alimentos y Bebidas (Food and Beverage Directorate) Calle Los Alcaldes, Frente al City Mall Email: consultapublica@arsa.gob.hn Website: http://www.arsa.gob.hn  1 This information can be provided by including a website address, a PDF attachment, or other information on where the text of the final measure/change to the measure/interpretative guidance can be obtained. G/TBT/N/HND/102/Add.1  - 2 -   Secretaría de Desarrollo Económico, SDE (Secretariat for Economic Development) Dirección General de Integración Económica y Política Comercial (Directorate-General of Economic Integration and Trade Policy) Centro Cívico Gubernamental "José Cecilio del Valle". Nivel 9, Torre 1 Tel.: (+504) 2242 8365 Email: gabriela.salinas@sde.gob.hn; gsalinas_sic@yahoo.com Website: https://sde.gob.hn/wpcontent/uploads/2024/09/REGLAMENTO_BEBIDAS_ENERGIZANTES.pdf __________</t>
  </si>
  <si>
    <t>Rectification of Table 2 of Specific Annex F - Plain bearings used in internal combustion engines of automotive road vehicles, of Inmetro Ordinance No. 145, 28 March 2022, published in the Official Gazette of the Union on 31 March 2022.</t>
  </si>
  <si>
    <d:r xmlns:d="http://schemas.openxmlformats.org/spreadsheetml/2006/main">
      <d:rPr>
        <d:sz val="11"/>
        <d:rFont val="Calibri"/>
      </d:rPr>
      <d:t xml:space="preserve">https://members.wto.org/crnattachments/2024/TBT/BRA/24_07676_00_x.pdf</d:t>
    </d:r>
  </si>
  <si>
    <t>Letter of the Committee for Veterinary Control and Surveillance of the Ministry of Agriculture of Kazakhstan on lifting the temporary restrictions on the importation into the territory of Kazakhstan in connection with the improvement of the epizootic situation for highly pathogenic avian influenza from the territory of England, Scotland, Wales of Great Britain of live poultry and hatching eggs, down and feathers, poultry meat and all types of poultry products that have not undergone heat treatment (at least 70 °C), feed and feed additives for birds (except for feed additives of plant origin, chemical and microbiological synthesis), hunting trophies that have not undergone taxidermy treatment (feathered game), as well as used equipment for keeping, slaughtering and cutting birds</t>
  </si>
  <si>
    <t>Kazakhstan notified in G/SPS/N/KAZ/138 (6 July 2023) the Letter of the Committee for Veterinary Control and Surveillance of the Ministry of Agriculture of Kazakhstan on the introduction of temporary restrictions on the importation into the territory of Kazakhstan from the territory of England, Scotland, Wales of Great Britain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treatment (feathered game), used equipment for keeping, slaughtering and cutting birds susceptible to highly pathogenic avian influenza, as well as transit through the territory of Kazakhstan of live birds susceptible to highly pathogenic avian influenza virus.</t>
  </si>
  <si>
    <t>Live poultry and hatching eggs, down and feathers, poultry meat and all types of poultry products, feed and feed additives for birds, hunting trophies, used equipment for keeping, slaughtering and butchering birds</t>
  </si>
  <si>
    <t>93 - ARMS AND AMMUNITION; PARTS AND ACCESSORIES THEREOF; 84 - NUCLEAR REACTORS, BOILERS, MACHINERY AND MECHANICAL APPLIANCES; PARTS THEREOF; 67 - PREPARED FEATHERS AND DOWN AND ARTICLES MADE OF FEATHERS OR OF DOWN; ARTIFICIAL FLOWERS; ARTICLES OF HUMAN HAIR; 23 - RESIDUES AND WASTE FROM THE FOOD INDUSTRIES; PREPARED ANIMAL FODDER; 04 - DAIRY PRODUCE; BIRDS' EGGS; NATURAL HONEY; EDIBLE PRODUCTS OF ANIMAL ORIGIN, NOT ELSEWHERE SPECIFIED OR INCLUDED; 02 - MEAT AND EDIBLE MEAT OFFAL; 01 - LIVE ANIMALS; 93 - ARMS AND AMMUNITION; PARTS AND ACCESSORIES THEREOF; 84 - NUCLEAR REACTORS, BOILERS, MACHINERY AND MECHANICAL APPLIANCES; PARTS THEREOF; 67 - PREPARED FEATHERS AND DOWN AND ARTICLES MADE OF FEATHERS OR OF DOWN; ARTIFICIAL FLOWERS; ARTICLES OF HUMAN HAIR; 23 - RESIDUES AND WASTE FROM THE FOOD INDUSTRIES; PREPARED ANIMAL FODDER; 04 - DAIRY PRODUCE; BIRDS' EGGS; NATURAL HONEY; EDIBLE PRODUCTS OF ANIMAL ORIGIN, NOT ELSEWHERE SPECIFIED OR INCLUDED; 02 - MEAT AND EDIBLE MEAT OFFAL; 01 - LIVE ANIMALS</t>
  </si>
  <si>
    <t>Withdrawal of the measure; Animal diseases; Zoonoses; Food safety; Animal health; Human health; Avian Influenza; Zoonoses; Animal diseases; Food safety; Animal health; Human health; Avian Influenza</t>
  </si>
  <si>
    <t xml:space="preserve">On 9 September 2024, the Consumer Product Safety Commission (CPSC) published in the Federal Register a notice of proposed rulemaking (NPR) (notified as G/TBT/N/USA/2146) to address the risk of death and injury associated with children ingesting or inserting in the nose or ear water bead toys by adding performance and labeling requirements for water bead toys or toys containing water beads. The Commission also made public incident data relied upon and referenced in the NPR. The NPR invited the public to submit written comments by 8 November 2024. On 21 October 2024, CPSC received a request to extend the comment period to provide stakeholders with time to review additional testing data. The Commission is extending the comment period for the NPR by 30 days.The comment period for the proposed rule published on 9 September 2024, at 89 FR 73024, is extended. Submit comments by 8 December 2024.89 Federal Register (FR) 88684, 8 November 2024; Title 16 Code of Federal Regulations (CFR) Part 1250_x000D_
https://www.govinfo.gov/content/pkg/FR-2024-11-08/html/2024-25876.htm_x000D_
https://www.govinfo.gov/content/pkg/FR-2024-11-08/pdf/2024-25876.pdfThis extension of comment period for the notice of proposed rulemaking notified as G/TBT/N/USA/2146 is identified by Docket Number CPSC-2024-0027. The Docket Folder is available from Regulations.gov at https://www.regulations.gov/docket/CPSC-2024-0027/document and provides access to primary documents as well as comments received. Documents are also accessible from Regulations.gov by searching the Docket Number. WTO Members and their stakeholders are asked to submit comments to the USA TBT Enquiry Point by or before 4pmEastern Time on 8 December 2024. Comments received by the USA TBT Enquiry Point from WTO Members and their stakeholders will be shared with CPSC and will also be submitted to the Docket on Regulations.gov if received within the comment period.</t>
  </si>
  <si>
    <t>03.120.20 - Product and company certification. Conformity assessment; 97.200.50 - Toys; 03.120.20 - Product and company certification. Conformity assessment; 97.200.50 - Toys</t>
  </si>
  <si>
    <t>Letter of the Committee for Veterinary Control and Surveillance of the Ministry of Agriculture of Kazakhstan on the introduction of temporary restrictions on the importation to the territory of Kazakhstan from Federal State of Saxony of Germany of live poultry and hatching eggs, down and feathers, poultry meat and all types of poultry products that have not undergone heat treatment, feed and feed additives for birds, hunting trophies that have not undergone taxidermy, used equipment for keeping, slaughtering and cutting birds, as well as for transit from the above territory through the territory of Kazakhstan of live birds</t>
  </si>
  <si>
    <t>The Committee for Veterinary Control and Surveillance of the Ministry of Agriculture of Kazakhstan reports that on the basis of the official notification of the World Organisation for Animal Health (WOAH), an outbreak of highly pathogenic avian influenza was registered in Federal State of Saxony of Germany. In this regard, since 2 October 2024, temporary restrictions have been introduced on the importation to the territory of Kazakhstan from the territory of Federal State of Saxony of Germany of live poultry and hatching eggs, down and feathers, poultry meat and all types of poultry products that have not undergone heat treatment (at least 70 °C), feed and feed additives for birds (except for feed additives of chemical and microbiological synthesis), hunting trophies that have not undergone taxidermy (game birds), used equipment for keeping, slaughtering and cutting birds, as well as for transit from the above territory through the territory of Kazakhstan of live birds.</t>
  </si>
  <si>
    <t>Animal diseases; Food safety; Animal health; Human health; Zoonoses; Avian Influenza</t>
  </si>
  <si>
    <t>Federal State of Saxony of Germany</t>
  </si>
  <si>
    <t>Amendments to On-Road Motorcycle Emission Standards and Test Procedures and Adoption of New On-Board Diagnostics and Zero-Emission Motorcycle Requirements </t>
  </si>
  <si>
    <t xml:space="preserve">By notice dated 7 October 2024, the California Air Resources Board (CARB or Board) announced it would conduct a public hearing to consider approving for adoption the proposed amendments to the On-Road Motorcycle (ONMC) emission standards and test procedures and adoption of new provisions relating to ONMCs under Division 3, Chapter 1, Article 2 (Approval of Motor Vehicle Pollution Control Devices) under Title 13, California Code of Regulations. The hearing was scheduled for 7 November 2024, at 2:00 p.m., at the Mary D. Nichols Campus, Southern California Headquarters, California Air Resources Board, Haagen-Smit Auditorium, 4001 Iowa Avenue, Riverside, California, 92507._x000D_
Please be advised that CARB will not hear this item at the 7 November 2024, hearing. The hearing on this item has thus been postponed, and a subsequent notice will follow in the future with more information. The public comment period for this regulatory action will not be extended.The notice, ISOR, and all subsequent regulatory documents are available on CARB's Rulemaking webpage._x000D_
</t>
  </si>
  <si>
    <t>Labeling – Energy Efficiency Label for Electrical Appliances Part 10: Household ovens and Hobs</t>
  </si>
  <si>
    <t>This UAE Regulation establishes requirements for the labeling and the provision of supplementary product information for domestic electric and gas ovens (including when incorporated into cookers) and it also covers domestic electric and/or gas.This Regulation shall not apply to:ovens that use energy sources other than electricity or gas;ovens which offer a ‘microwave heating’ function;portable ovens;heat storage ovens;ovens which are heated with steam as a primary heating function;ovens designed for use only with gases of the ‘third family’ (propane and butane).small ovens;covered gas burners in hobs;outdoor cooking appliances;grills.</t>
  </si>
  <si>
    <t>97.040.20 - Cooking ranges, working tables, ovens and similar appliances; 31.240 - Mechanical structures for electronic equipment</t>
  </si>
  <si>
    <d:r xmlns:d="http://schemas.openxmlformats.org/spreadsheetml/2006/main">
      <d:rPr>
        <d:sz val="11"/>
        <d:rFont val="Calibri"/>
      </d:rPr>
      <d:t xml:space="preserve">https://members.wto.org/crnattachments/2024/TBT/ARE/24_07640_00_e.pdf</d:t>
    </d:r>
  </si>
  <si>
    <t>Revision of the Specifications and Standards for Foods, Food Additives, Etc. under the Food Sanitation Act (Revision of agricultural chemical residue standards)</t>
  </si>
  <si>
    <t>Proposal of maximum residue limits (MRLs) for the following agricultural chemical:Pesticide: Sulfoxaflor.</t>
  </si>
  <si>
    <t>Meat and edible meat offal (HS codes: 02.01, 02.02, 02.03, 02.04, 02.05, 02.06, 02.07, 02.08 and 02.09)Dairy produce, birds' eggs and natural honey (HS codes: 04.01, 04.07, 04.08 and 04.09)Animal originated products (HS code: 05.04)Edible vegetables and certain roots and tubers (HS codes: 07.01, 07.02, 07.03, 07.04, 07.05, 07.06, 07.07, 07.08, 07.09, 07.10, 07.13 and 07.14)Edible fruit and nuts, peel of citrus fruit (HS codes: 08.01, 08.02, 08.03, 08.04, 08.05, 08.06, 08.07, 08.08, 08.09, 08.10, 08.11 and 08.14)Coffee, mate and spices (HS codes: 09.01, 09.03, 09.04, 09.05, 09.06, 09.07, 09.08, 09.09 and 09.10)Cereals (HS codes: 10.01, 10.03, 10.04, 10.05, 10.06, 10.07 and 10.08)Oil seeds and oleaginous fruits, miscellaneous grains, seeds and fruit (HS codes: 12.01, 12.05, 12.06, 12.07 and 12.12)Animal fats and oils (HS codes: 15.01, 15.02 and 15.06)Cacao and cacao preparations (HS code: 18.01)     </t>
  </si>
  <si>
    <t>1801 - Cocoa beans, whole or broken, raw or roasted.; 0804 - Dates, figs, pineapples, avocados, guavas, mangoes and mangosteens, fresh or dried; 0803 - Bananas, incl. plantains, fresh or dried; 0802 - Other nuts, fresh or dried, whether or not shelled or peeled (excl. coconuts, Brazil nuts and cashew nuts); 0801 - Coconuts, Brazil nuts and cashew nuts, fresh or dried, whether or not shelled or peeled; 0714 - Roots and tubers of manioc, arrowroot, salep, Jerusalem artichokes, sweet potatoes and similar roots and tubers with high starch or inulin content, fresh, chilled, frozen or dried, whether or not sliced or in the form of pellets; sago pith; 0713 - Dried leguminous vegetables, shelled, whether or not skinned or split;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0708 - Leguminous vegetables, shelled or unshelled, fresh or chilled; 0707 - Cucumbers and gherkins, fresh or chilled.; 0706 - Carrots, turnips, salad beetroot, salsify, celeriac, radishes and similar edible roots, fresh or chilled; 0705 - Lettuce "Lactuca sativa" and chicory "Cichorium spp.", fresh or chilled; 0704 - Cabbages, cauliflowers, kohlrabi, kale and similar edible brassicas, fresh or chilled; 0805 - Citrus fruit, fresh or dried; 0703 - Onions, shallots, garlic, leeks and other alliaceous vegetables, fresh or chilled; 0701 - Potatoes, fresh or chilled; 0504 - Guts, bladders and stomachs of animals (other than fish), whole and pieces thereof, fresh, chilled, frozen, salted, in brine, dried or smoked.; 0409 - Natural honey.;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0702 - Tomatoes, fresh or chilled.; 0202 - Meat of bovine animals, frozen; 0806 - Grapes, fresh or dried; 0808 - Apples, pears and quinces, fresh; 1506 - Other animal fats and oils and their fractions, whether or not refined, but not chemically modified.; 1502 - Fats of bovine animals, sheep or goats (excl. oil and oleostearin); 1501 - Pig fat, incl. lard, and poultry fat, rendered or otherwise extracted (excl. lard stearin and lard oil);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1207 - Other oil seeds and oleaginous fruits, whether or not broken (excl. edible nuts, olives, soya beans, groundnuts, copra, linseed, rape or colza seeds and sunflower seeds); 1206 - Sunflower seeds, whether or not broken.; 1205 - Rape or colza seeds, whether or not broken; 1201 - Soya beans, whether or not broken; 1008 - Buckwheat, millet, canary seed and other cereals (excl. wheat and meslin, rye, barley, oats, maize, rice and grain sorghum); 1007 - Grain sorghum; 1006 - Rice; 1005 - Maize or corn; 1004 - Oats; 0807 - Melons, incl. watermelons, and papaws "papayas", fresh; 1003 - Barley;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0909 - Seeds of anis, badian, fennel, coriander, cumin or caraway; juniper berries; 0908 - Nutmeg, mace and cardamoms; 0907 - Cloves, whole fruit, cloves and stems; 0906 - Cinnamon and cinnamon-tree flowers; 0905 - Vanilla; 0904 - Pepper of the genus Piper; dried or crushed or ground fruits of the genus Capsicum or of the genus Pimenta; 0903 - Maté.; 0901 - Coffee, whether or not roasted or decaffeinated; coffee husks and skins; coffee substitutes containing coffee in any proportion; 0814 - Peel of citrus fruit or melons (including watermelons), fresh, frozen, dried or provisionally preserved in brine, in sulphur water or in other preservative solutions.; 0811 - Fruit and nuts, uncooked or cooked by steaming or boiling in water, frozen, whether or not containing added sugar or other sweetening matter;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0809 - Apricots, cherries, peaches incl. nectarines, plums and sloes, fresh; 1001 - Wheat and meslin; 0201 - Meat of bovine animals, fresh or chilled</t>
  </si>
  <si>
    <d:r xmlns:d="http://schemas.openxmlformats.org/spreadsheetml/2006/main">
      <d:rPr>
        <d:sz val="11"/>
        <d:rFont val="Calibri"/>
      </d:rPr>
      <d:t xml:space="preserve">https://members.wto.org/crnattachments/2024/SPS/JPN/24_07616_00_e.pdf</d:t>
    </d:r>
  </si>
  <si>
    <t>Proposal of maximum residue limits (MRLs) for the following agricultural chemical:Feed additive: Dibutylhydroxytoluene.</t>
  </si>
  <si>
    <t>Meat and edible meat offal (HS codes: 02.01, 02.02, 02.03, 02.04, 02.05, 02.06, 02.07, 02.08 and 02.09)Aquatic animals and crustaceans, molluscs and other aquatic invertebrates (HS codes: 03.02, 03.03, 03.04 and 03.06)Dairy produce and birds' eggs  (HS codes: 04.01, 04.07 and 04.08)Animal originated products (HS code: 05.04)Animal fats and oils (HS codes: 15.01, 15.02 and 15.06)</t>
  </si>
  <si>
    <t>1501 - Pig fat, incl. lard, and poultry fat, rendered or otherwise extracted (excl. lard stearin and lard oil); 0201 - Meat of bovine animals, fresh or chilled;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0302 - Fish, fresh or chilled (excl. fish fillets and other fish meat of heading 0304); 0303 - Frozen fish (excl. fish fillets and other fish meat of heading 0304); 0304 - Fish fillets and other fish meat, whether or not minced, fresh, chilled or frozen; 0306 - Crustaceans, whether in shell or not, live, fresh, chilled, frozen, dried, salted or in brine, even smoked, incl. crustaceans in shell cooked by steaming or by boiling in water;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0504 - Guts, bladders and stomachs of animals (other than fish), whole and pieces thereof, fresh, chilled, frozen, salted, in brine, dried or smoked.; 1502 - Fats of bovine animals, sheep or goats (excl. oil and oleostearin); 1506 - Other animal fats and oils and their fractions, whether or not refined, but not chemically modified.</t>
  </si>
  <si>
    <d:r xmlns:d="http://schemas.openxmlformats.org/spreadsheetml/2006/main">
      <d:rPr>
        <d:sz val="11"/>
        <d:rFont val="Calibri"/>
      </d:rPr>
      <d:t xml:space="preserve">https://members.wto.org/crnattachments/2024/SPS/JPN/24_07618_00_e.pdf</d:t>
    </d:r>
  </si>
  <si>
    <t>Health Certificate of Food for Export</t>
  </si>
  <si>
    <t>This Notification is to inform WTO Members that Health Certificate of Food for export will be released in accordance with Codex Alimentarius, Guidelines for Design, Production, Issuance and Use of Generic Official Certificates (CXG 38-2001)</t>
  </si>
  <si>
    <t>All of food for export</t>
  </si>
  <si>
    <t>0401 - Milk and cream, not concentrated nor containing added sugar or other sweetening matter; 0402 - Milk and cream, concentrated or containing added sugar or other sweetening matter;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0404 - Whey, whether or not concentrated or containing added sugar or other sweetening matter; products consisting of natural milk constituents, whether or not containing added sugar or other sweetening matter, n.e.s.; 0405 - Butter, incl. dehydrated butter and ghee, and other fats and oils derived from milk; dairy spreads; 1901 - 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 2202 - Waters, incl. mineral waters and aerated waters, containing added sugar or other sweetening matter or flavoured, and other non-alcoholic beverages (excl. fruit, nut or vegetable juices and milk)</t>
  </si>
  <si>
    <t>11 - HEALTH CARE TECHNOLOGY; 67.100 - Milk and milk products; 67.230 - Prepackaged and prepared foods</t>
  </si>
  <si>
    <d:r xmlns:d="http://schemas.openxmlformats.org/spreadsheetml/2006/main">
      <d:rPr>
        <d:sz val="11"/>
        <d:rFont val="Calibri"/>
      </d:rPr>
      <d:t xml:space="preserve">https://members.wto.org/crnattachments/2024/TBT/MMR/24_07531_00_e.pdf
https://members.wto.org/crnattachments/2024/TBT/MMR/24_07531_00_x.pdf</d:t>
    </d:r>
  </si>
  <si>
    <t>The draft amendment of the “Quarantine Requirements for the Importation of Live Crustaceans and Molluscs” in relation to Article 10 (Annex 8-4) of the “Regulations for the Importation of Objects Subject to Animal Quarantine”</t>
  </si>
  <si>
    <t>The amendment aims to incorporate the susceptible species of crustaceans and the sampling methods outlined in the emergency measures established in 2020 regarding the "Quarantine Requirements for the Importation of Regulated Objects Related to Decapod Iridescent Virus 1". Additionally, the update aligns with the latest version of the World Organisation for Animal Health (WOAH) regarding susceptible species of mollusks, and incorporates hybrid abalones in the quarantine requirements. The amended texts of the draft amendment quarantine requirements are marked in red.</t>
  </si>
  <si>
    <t>Live crustaceans and molluscs</t>
  </si>
  <si>
    <d:r xmlns:d="http://schemas.openxmlformats.org/spreadsheetml/2006/main">
      <d:rPr>
        <d:sz val="11"/>
        <d:rFont val="Calibri"/>
      </d:rPr>
      <d:t xml:space="preserve">https://members.wto.org/crnattachments/2024/SPS/TPKM/24_07637_00_e.pdf</d:t>
    </d:r>
  </si>
  <si>
    <t>Specifies that certain devices must be equipped with a USB Type-C receptacle connector when wired for charging or simultaneous charging and data transfers.</t>
  </si>
  <si>
    <t>33.040 - Telecommunication systems</t>
  </si>
  <si>
    <d:r xmlns:d="http://schemas.openxmlformats.org/spreadsheetml/2006/main">
      <d:rPr>
        <d:sz val="11"/>
        <d:rFont val="Calibri"/>
      </d:rPr>
      <d:t xml:space="preserve">https://members.wto.org/crnattachments/2024/TBT/KOR/24_07619_00_x.pdf</d:t>
    </d:r>
  </si>
  <si>
    <t>The draft amendment of the “Quarantine Requirements for the Importation of Animal Vaccines” in relation to Article 18 (Annex 16-2) of the "Regulations for the Importation of Objects Subject to Animal Quarantine"</t>
  </si>
  <si>
    <t>To align with the revisions of the CCC codes for animal vaccines. No substantive content changes. The amended texts of the draft amendment Quarantine Requirements are marked in red. </t>
  </si>
  <si>
    <t>Animal vaccine</t>
  </si>
  <si>
    <d:r xmlns:d="http://schemas.openxmlformats.org/spreadsheetml/2006/main">
      <d:rPr>
        <d:sz val="11"/>
        <d:rFont val="Calibri"/>
      </d:rPr>
      <d:t xml:space="preserve">https://members.wto.org/crnattachments/2024/SPS/TPKM/24_07639_00_e.pdf</d:t>
    </d:r>
  </si>
  <si>
    <t>The draft amendment of the following Quarantine Requirements in relation the Articles of "Regulations for the Importation of Objects Subject to Animal Quarantine": (1) "Quarantine Requirements for the Importation of Game Meat" (Article 10, Annex 13-1); (2) "Quarantine Requirements for the Importation of Poultry Meat" (Article 10, Annex 13-2); (3) "Quarantine Requirements for the Importation of Meat Derived from Artiodactyla Animals" (Article 10, Annex 13-3); (4) "Quarantine Requirements for the Importation of Deboned (chilled or frozen) Beef from Paraguay" (Article 10, Annex 14-1); (5) "Quarantine Requirements for the Importation of Deboned (chilled or frozen) Pork from Paraguay" (Article 10, Annex 14-2); (6) "Quarantine Requirements for the Importation of Products of Animal Origin" (Article 19, Annex 18-4)</t>
  </si>
  <si>
    <t>Considering that there are numerous types of canned foods for human consumption that comply with high-temperature sterilization, and that some products are classified under specific Commodity Classification Code (CCC Code) and do not require quarantine, while other products are not classified under specific CCC codes or lack specific CCC codes altogether, necessitating quarantine procedures, and given that the risk of these canned foods transmitting infectious animal diseases is extremely low. Therefore, conditions are added that exempt meat and egg products that comply with high-temperature sterilization from quarantine requirements for consistency and to consider factor of quarantine cost. The amended texts of the draft amendment Quarantine Requirements are marked in red.</t>
  </si>
  <si>
    <t>Meat (game meat, poultry meat, meat derived from Artiodactyla animals, chilled or frozen beef/pork from Paraguay) and egg products for human consumption</t>
  </si>
  <si>
    <d:r xmlns:d="http://schemas.openxmlformats.org/spreadsheetml/2006/main">
      <d:rPr>
        <d:sz val="11"/>
        <d:rFont val="Calibri"/>
      </d:rPr>
      <d:t xml:space="preserve">https://members.wto.org/crnattachments/2024/SPS/TPKM/24_07638_00_e.pdf
https://members.wto.org/crnattachments/2024/SPS/TPKM/24_07638_01_e.pdf
https://members.wto.org/crnattachments/2024/SPS/TPKM/24_07638_02_e.pdf
https://members.wto.org/crnattachments/2024/SPS/TPKM/24_07638_03_e.pdf
https://members.wto.org/crnattachments/2024/SPS/TPKM/24_07638_04_e.pdf
https://members.wto.org/crnattachments/2024/SPS/TPKM/24_07638_05_e.pdf</d:t>
    </d:r>
  </si>
  <si>
    <t>UAE GCC Technical Regulation for Chami (Sour Milk Curd)</t>
  </si>
  <si>
    <t>This notification was circulated in error and is therefore null and void. </t>
  </si>
  <si>
    <t>Milk and processed milk products (ICS code(s): 67.100.10)</t>
  </si>
  <si>
    <t>040610 - Fresh cheese "unripened or uncured cheese", incl. whey cheese, and curd; 040610 - Fresh cheese "unripened or uncured cheese", incl. whey cheese, and curd</t>
  </si>
  <si>
    <t>Proposal of maximum residue limits (MRLs) for the following agricultural chemical:Pesticide: Dazomet, Metam and Methyl isothiocyanate.</t>
  </si>
  <si>
    <t>Natural honey (HS code: 04.09)Edible vegetables and certain roots and tubers (HS codes: 07.01, 07.02, 07.03, 07.04, 07.05, 07.06, 07.07, 07.08, 07.09, 07.10 and 07.14)Edible fruit (HS codes: 08.07, 08.10 and 08.11)Mate and spices (HS codes: 09.03 and 09.10)Oil seeds and oleaginous fruits, miscellaneous grains, seeds and fruit (HS codes: 12.02 and 12.12)</t>
  </si>
  <si>
    <t>1202 - Groundnuts, whether or not shelled or broken (excl. roasted or otherwise cooked); 0701 - Potatoes, fresh or chilled; 0702 - Tomatoes, fresh or chilled.; 0703 - Onions, shallots, garlic, leeks and other alliaceous vegetables, fresh or chilled; 0704 - Cabbages, cauliflowers, kohlrabi, kale and similar edible brassicas, fresh or chilled; 0705 - Lettuce "Lactuca sativa" and chicory "Cichorium spp.", fresh or chilled; 0706 - Carrots, turnips, salad beetroot, salsify, celeriac, radishes and similar edible roots, fresh or chilled; 0707 - Cucumbers and gherkins, fresh or chilled.; 0409 - Natural honey.; 0708 - Leguminous vegetables, shelled or unshelled, fresh or chilled; 0710 - Vegetables, uncooked or cooked by steaming or boiling in water, frozen; 0714 - Roots and tubers of manioc, arrowroot, salep, Jerusalem artichokes, sweet potatoes and similar roots and tubers with high starch or inulin content, fresh, chilled, frozen or dried, whether or not sliced or in the form of pellets; sago pith; 0807 - Melons, incl. watermelons, and papaws "papayas",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0903 - Maté.;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t>
  </si>
  <si>
    <d:r xmlns:d="http://schemas.openxmlformats.org/spreadsheetml/2006/main">
      <d:rPr>
        <d:sz val="11"/>
        <d:rFont val="Calibri"/>
      </d:rPr>
      <d:t xml:space="preserve">https://members.wto.org/crnattachments/2024/SPS/JPN/24_07611_00_e.pdf</d:t>
    </d:r>
  </si>
  <si>
    <t>Proposal of maximum residue limits (MRLs) for the following agricultural chemical:Pesticide: Fosthiazate.</t>
  </si>
  <si>
    <t>Natural honey (HS code: 04.09)Edible vegetables and certain roots and tubers (HS codes: 07.01, 07.02, 07.03, 07.04, 07.05, 07.06, 07.07, 07.08, 07.09, 07.10, 07.13 and 07.14)Edible fruit and nuts, peel of citrus fruit (HS codes: 08.03, 08.04, 08.07, 08.10 and 08.11)Mate and spices (HS codes: 09.03 and 09.10)</t>
  </si>
  <si>
    <t>0903 - Maté.; 0701 - Potatoes, fresh or chilled; 0702 - Tomatoes, fresh or chilled.; 0703 - Onions, shallots, garlic, leeks and other alliaceous vegetables, fresh or chilled; 0704 - Cabbages, cauliflowers, kohlrabi, kale and similar edible brassicas, fresh or chilled; 0705 - Lettuce "Lactuca sativa" and chicory "Cichorium spp.", fresh or chilled; 0706 - Carrots, turnips, salad beetroot, salsify, celeriac, radishes and similar edible roots, fresh or chilled; 0707 - Cucumbers and gherkins, fresh or chilled.; 0708 - Leguminous vegetables, shelled or unshelled,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0713 - Dried leguminous vegetables, shelled, whether or not skinned or split; 0714 - Roots and tubers of manioc, arrowroot, salep, Jerusalem artichokes, sweet potatoes and similar roots and tubers with high starch or inulin content, fresh, chilled, frozen or dried, whether or not sliced or in the form of pellets; sago pith; 0803 - Bananas, incl. plantains, fresh or dried; 0804 - Dates, figs, pineapples, avocados, guavas, mangoes and mangosteens, fresh or dried; 0807 - Melons, incl. watermelons, and papaws "papayas",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0409 - Natural honey.;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t>
  </si>
  <si>
    <d:r xmlns:d="http://schemas.openxmlformats.org/spreadsheetml/2006/main">
      <d:rPr>
        <d:sz val="11"/>
        <d:rFont val="Calibri"/>
      </d:rPr>
      <d:t xml:space="preserve">https://members.wto.org/crnattachments/2024/SPS/JPN/24_07613_00_e.pdf</d:t>
    </d:r>
  </si>
  <si>
    <t>Amendment to ovine/caprine semen import requirements for paratuberculosis (Johne’s disease)</t>
  </si>
  <si>
    <t xml:space="preserve">Australia has reviewed our import conditions for ovine/caprine semen for paratuberculosis (Johne’s disease) and has amended the wording to remove the need for testing for this disease, and has also amended the requirements to support certification in approved countries where Johne’s disease in not ‘officially’ reported.Australia will accept certification to the new conditions immediately, and will also continue to accept certification under the previous conditions for a transition period of six months from the date of this notification.NEW CONDTIONS:Johne’s diseaseMycobacterium avium subsp. paratuberculosisDonors have been kept in a flock/herd in which no case of paratuberculosis was diagnosed or officially reported during the two years immediately prior to collection.PREVIOUS CONDITIONS:Johne’s disease (M. paratuberculosis_x000D_
Donors either:gave a negative result to an absorbed ELISA or AGID for JD between 90 days before the first collection of semen and export;_x000D_
ORhas been kept in a herd in which no clinical sign of paratuberculosis was officially reported during the five years immediately prior to collection._x000D_
_x000D_
[The veterinary certificate must indicate the option that applies. The attached table must include dates of sampling for test, type of tests used, test results.]</t>
  </si>
  <si>
    <t>Other: (HS code(s): 05119); Ovine/caprine semen</t>
  </si>
  <si>
    <t>05119 - - Other:</t>
  </si>
  <si>
    <t>Canada; European Union; United Kingdom; United States of America</t>
  </si>
  <si>
    <d:r xmlns:d="http://schemas.openxmlformats.org/spreadsheetml/2006/main">
      <d:rPr>
        <d:sz val="11"/>
        <d:rFont val="Calibri"/>
      </d:rPr>
      <d:t xml:space="preserve">Goat semen from Canada: 
https://bicon.agriculture.gov.au/BiconWeb4.0/ViewElement/Element/Index?elementPk=2229465&amp;caseElementPk=2228179 
Goat semen from the European Union: 
https://bicon.agriculture.gov.au/BiconWeb4.0/ViewElement/Element/Index?elementPk=2229668&amp;caseElementPk=2228179 
Goat semen from the United Kingdom: 
https://bicon.agriculture.gov.au/BiconWeb4.0/ViewElement/Element/Index?elementPk=2229599&amp;caseElementPk=2228179
Goat semen from the United States of America: 
https://bicon.agriculture.gov.au/BiconWeb4.0/ViewElement/Element/Index?elementPk=2229464&amp;caseElementPk=2228179
Ovine semen from Canada:
 https://bicon.agriculture.gov.au/BiconWeb4.0/ViewElement/Element/Index?elementPk=2222398&amp;caseElementPk=2237446
Ovine semen from the European Union: 
https://bicon.agriculture.gov.au/BiconWeb4.0/ViewElement/Element/Index?elementPk=2237163&amp;caseElementPk=2237446
Ovine semen from the United Kingdom: 
https://bicon.agriculture.gov.au/BiconWeb4.0/ViewElement/Element/Index?elementPk=2237164&amp;caseElementPk=2237446
Ovine semen from the United States of America:
https://bicon.agriculture.gov.au/BiconWeb4.0/ViewElement/Element/Index?elementPk=2221062&amp;caseElementPk=2237446</d:t>
    </d:r>
  </si>
  <si>
    <t>The draft amendment of Article 15 of the "Regulations for the Importation of Objects Subject to Animal Quarantine" and the following Quarantine Requirements in relation to Articles of the Regulations: (1) "Quarantine Requirements for the Importation of Dried Animal Products" (Article 19, Annex 18-2); (2) "Quarantine Requirements for the Importation of Frozen/Chilled Uneviscerated Fish Products" (Article 19, Annex 18-3)</t>
  </si>
  <si>
    <t xml:space="preserve">The amended texts of the draft amendment Regulations and Quarantine Requirements are marked in red. The amendments are briefly described as follows:Article 15 of the Regulations:_x000D_
A. Animal products that are prohibited from being import may be imported from animal infectious disease countries (zones) listed in Article 15, paragraph 1 of the Regulations, if their manufacturing processes and other risk control measures have been assessed and proven to effectively prevent the introduction of infectious animal diseases, posing no risk of disease transmission, and quarantine requirements have been established. The aforementioned quarantine requirements currently include quarantine requirements such as for the importation of poultry meat, processed products containing meat, dried animal products, and animal-derived products, etc. Therefore, this amendment has been made for clarification purposes._x000D_
_x000D_
B. Due to the lack of clear commercial sterilization requirements for acidified canned foods, and considering that canned foods containing animal-derived ingredients are mostly low-acid canned foods, the reference to acid canned food has been removed.Dried animal products and frozen/chilled uneviscerated fish products: The text is amended to revise the OIE abbreviation to WOAH and that BAPHIQ, COA has been restructured as APHIA, MOA. There is no substantive content change.</t>
  </si>
  <si>
    <t>Dried animal products, frozen/chilled uneviscerated fish products</t>
  </si>
  <si>
    <d:r xmlns:d="http://schemas.openxmlformats.org/spreadsheetml/2006/main">
      <d:rPr>
        <d:sz val="11"/>
        <d:rFont val="Calibri"/>
      </d:rPr>
      <d:t xml:space="preserve">https://members.wto.org/crnattachments/2024/SPS/TPKM/24_07636_00_e.pdf
https://members.wto.org/crnattachments/2024/SPS/TPKM/24_07636_01_e.pdf
https://members.wto.org/crnattachments/2024/SPS/TPKM/24_07636_02_e.pdf</d:t>
    </d:r>
  </si>
  <si>
    <t>UAE GCC Technical Regulation for Ice Coffee</t>
  </si>
  <si>
    <t>This Gulf standard is concerned with the requirements that shall be met in iced coffee in all flavors, prepackaged, and ready for direct use without any preparation by the consumer.</t>
  </si>
  <si>
    <t>Tea. Coffee. Cocoa (ICS code(s): 67.140)</t>
  </si>
  <si>
    <t>67.140 - Tea. Coffee. Cocoa</t>
  </si>
  <si>
    <d:r xmlns:d="http://schemas.openxmlformats.org/spreadsheetml/2006/main">
      <d:rPr>
        <d:sz val="11"/>
        <d:rFont val="Calibri"/>
      </d:rPr>
      <d:t xml:space="preserve">https://members.wto.org/crnattachments/2024/TBT/ARE/24_07627_00_x.pdf
https://members.wto.org/crnattachments/2024/TBT/ARE/24_07627_01_x.pdf</d:t>
    </d:r>
  </si>
  <si>
    <t>Proposal of maximum residue limits (MRLs) for the following agricultural chemical:Pesticide: Acrinathrin.</t>
  </si>
  <si>
    <t>Natural honey (HS code: 04.09)Edible vegetables and certain roots and tubers (HS codes: 07.02, 07.04, 07.07, 07.09 and 07.10)Edible fruit (HS codes: 08.04, 08.06, 08.07, 08.08, 08.09, 08.10 and 08.11)Tea, mate and spices (HS codes: 09.02, 09.03 and 09.10)Oil seeds and oleaginous fruits, miscellaneous grains, seeds and fruit (HS code: 12.12)</t>
  </si>
  <si>
    <t>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0704 - Cabbages, cauliflowers, kohlrabi, kale and similar edible brassicas, fresh or chilled; 0707 - Cucumbers and gherkins,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0804 - Dates, figs, pineapples, avocados, guavas, mangoes and mangosteens, fresh or dried; 0806 - Grapes, fresh or dried; 0702 - Tomatoes, fresh or chilled.; 0807 - Melons, incl. watermelons, and papaws "papayas", fresh; 0809 - Apricots, cherries, peaches incl. nectarines, plums and sloes,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0902 - Tea, whether or not flavoured; 0903 - Maté.;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0808 - Apples, pears and quinces, fresh; 0409 - Natural honey.</t>
  </si>
  <si>
    <d:r xmlns:d="http://schemas.openxmlformats.org/spreadsheetml/2006/main">
      <d:rPr>
        <d:sz val="11"/>
        <d:rFont val="Calibri"/>
      </d:rPr>
      <d:t xml:space="preserve">https://members.wto.org/crnattachments/2024/SPS/JPN/24_07610_00_e.pdf</d:t>
    </d:r>
  </si>
  <si>
    <t>Proposal of maximum residue limits (MRLs) for the following agricultural chemical:Pesticide: Flutianil.</t>
  </si>
  <si>
    <t>Natural honey (HS code: 04.09)Edible vegetables and certain roots and tubers (HS codes: 07.02, 07.07, 07.08, 07.09 and 07.10)Edible fruit (HS codes: 08.06, 08.07, 08.08, 08.09, 08.10 and 08.11)Mate (HS code: 09.03)Oil seeds and oleaginous fruits, miscellaneous grains, seeds and fruit (HS code: 12.10)</t>
  </si>
  <si>
    <t>1210 - Hop cones, fresh or dried, whether or not ground, powdered or in the form of pellets; lupulin; 0903 - Maté.; 0811 - Fruit and nuts, uncooked or cooked by steaming or boiling in water, frozen, whether or not containing added sugar or other sweetening matter;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0809 - Apricots, cherries, peaches incl. nectarines, plums and sloes, fresh; 0808 - Apples, pears and quinces, fresh; 0807 - Melons, incl. watermelons, and papaws "papayas", fresh; 0806 - Grapes, fresh or dried;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0708 - Leguminous vegetables, shelled or unshelled, fresh or chilled; 0707 - Cucumbers and gherkins, fresh or chilled.; 0702 - Tomatoes, fresh or chilled.; 0409 - Natural honey.</t>
  </si>
  <si>
    <d:r xmlns:d="http://schemas.openxmlformats.org/spreadsheetml/2006/main">
      <d:rPr>
        <d:sz val="11"/>
        <d:rFont val="Calibri"/>
      </d:rPr>
      <d:t xml:space="preserve">https://members.wto.org/crnattachments/2024/SPS/JPN/24_07612_00_e.pdf</d:t>
    </d:r>
  </si>
  <si>
    <t>Kuwait, the State of</t>
  </si>
  <si>
    <t>Norma Técnica Chilena: NCh3334:2014 Acero - Barras laminadas en caliente soldables para hormigón armado - Requisitos (Chilean Technical Standard No. 3334:2014 Steel - Weldable hot-rolled bars and rods for the reinforcement of concrete - Requirements)</t>
  </si>
  <si>
    <t>The notified Standard establishes the requirements to be met by weldable hot-rolled bars and rods for the manufacture of elements for the reinforcement of concrete that are electrically welded or welded with material input.</t>
  </si>
  <si>
    <t>Weldable bars for concrete reinforcement</t>
  </si>
  <si>
    <t>Draft Implementing Guidelines of the Philippine Transport Vehicles Fuel Economy Labeling Program on Fuel Economy Label of Road Transport Vehicles (VFELP-IG on FEL-RTV); (8 pages(s) plus Annex, in English)</t>
  </si>
  <si>
    <t>These implementing guidelines provide the procedures for Fuel Economy Label and Fuel Economy Sticker issuance for registered vehicles of company-registered manufacturers, importers, distributors, dealers and rebuilders. The draft VFELP-IG on FEL-RTV is consistent with the provisions of Department Circulars No. DC2023-05-0017 or the VFELP Guidelines and DC2023-05-0016 or the Fuel Economy Performance Rating Guidelines for Road Transport Vehicles.</t>
  </si>
  <si>
    <t>The Implementing Guideline IG shall cover all road transport vehicles indicated under Section 5 of the VFELP Guidelines. This includes all road transport vehicles powered by internal combustion engine (ICE) and electric vehicles (EVs) with reference to Section 5 of the Electric Vehicle Industry Development Act – Implementing Rules and Regulations (EVIDA-IRR).</t>
  </si>
  <si>
    <t>Consumer information, labelling (TBT); Protection of the environment (TBT)</t>
  </si>
  <si>
    <d:r xmlns:d="http://schemas.openxmlformats.org/spreadsheetml/2006/main">
      <d:rPr>
        <d:sz val="11"/>
        <d:rFont val="Calibri"/>
      </d:rPr>
      <d:t xml:space="preserve">https://members.wto.org/crnattachments/2024/TBT/PHL/24_07584_00_e.pdf</d:t>
    </d:r>
  </si>
  <si>
    <t>Norma Chilena NCh3660:2021 Construcción - Mallas electrosoldadas de barras laminadas en caliente soldables para hormigón armado - Condiciones de uso (Chilean Standard No. 3660:2021 Construction - Electrically welded wire mesh made of weldable hot-rolled bars and rods for the reinforcement of concrete - Conditions for use)</t>
  </si>
  <si>
    <t>The notified Standard establishes the conditions for the installation of electrically welded wire mesh made of weldable hot-rolled bars and rods, manufactured in accordance with Chilean Standard No. 3335, for use in the structural reinforcement of concrete.</t>
  </si>
  <si>
    <t>Electrically welded wire mesh for the reinforcement of concrete</t>
  </si>
  <si>
    <t>Proposal of maximum residue limits (MRLs) for the following agricultural chemical:Pesticide: Spirotetramat.</t>
  </si>
  <si>
    <t>Meat and edible meat offal (HS codes: 02.01, 02.02, 02.03, 02.04, 02.05, 02.06, 02.07, 02.08 and 02.09)Dairy produce, birds' eggs and natural honey (HS codes: 04.01, 04.07, 04.08 and 04.09)Animal originated products (HS code: 05.04)Edible vegetables and certain roots and tubers (HS codes: 07.01, 07.02, 07.03, 07.04, 07.05, 07.06, 07.07, 07.08, 07.09, 07.10, 07.13 and 07.14)Edible fruit and nuts, peel of citrus fruit (HS codes: 08.01, 08.02, 08.03, 08.04, 08.05, 08.06, 08.07, 08.08, 08.09, 08.10, 08.11 and 08.14)Coffee, mate and spices (HS codes: 09.01, 09.03, 09.04, 09.05, 09.06, 09.07, 09.08, 09.09 and 09.10)Cereals (HS code: 10.05)Oil seeds and oleaginous fruits, miscellaneous grains, seeds and fruit (HS codes: 12.01, 12.07, 12.10 and 12.12)Animal fats and oils (HS codes: 15.01, 15.02 and 15.06)</t>
  </si>
  <si>
    <t>1506 - Other animal fats and oils and their fractions, whether or not refined, but not chemically modified.; 0714 - Roots and tubers of manioc, arrowroot, salep, Jerusalem artichokes, sweet potatoes and similar roots and tubers with high starch or inulin content, fresh, chilled, frozen or dried, whether or not sliced or in the form of pellets; sago pith; 0713 - Dried leguminous vegetables, shelled, whether or not skinned or split;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0708 - Leguminous vegetables, shelled or unshelled, fresh or chilled; 0707 - Cucumbers and gherkins, fresh or chilled.; 0706 - Carrots, turnips, salad beetroot, salsify, celeriac, radishes and similar edible roots, fresh or chilled; 0705 - Lettuce "Lactuca sativa" and chicory "Cichorium spp.", fresh or chilled; 0704 - Cabbages, cauliflowers, kohlrabi, kale and similar edible brassicas, fresh or chilled; 0703 - Onions, shallots, garlic, leeks and other alliaceous vegetables, fresh or chilled; 0702 - Tomatoes, fresh or chilled.; 0801 - Coconuts, Brazil nuts and cashew nuts, fresh or dried, whether or not shelled or peeled; 0701 - Potatoes, fresh or chilled; 0409 - Natural honey.;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0504 - Guts, bladders and stomachs of animals (other than fish), whole and pieces thereof, fresh, chilled, frozen, salted, in brine, dried or smoked.; 0202 - Meat of bovine animals, frozen; 0802 - Other nuts, fresh or dried, whether or not shelled or peeled (excl. coconuts, Brazil nuts and cashew nuts); 0804 - Dates, figs, pineapples, avocados, guavas, mangoes and mangosteens, fresh or dried; 1502 - Fats of bovine animals, sheep or goats (excl. oil and oleostearin); 1501 - Pig fat, incl. lard, and poultry fat, rendered or otherwise extracted (excl. lard stearin and lard oil);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1210 - Hop cones, fresh or dried, whether or not ground, powdered or in the form of pellets; lupulin; 1207 - Other oil seeds and oleaginous fruits, whether or not broken (excl. edible nuts, olives, soya beans, groundnuts, copra, linseed, rape or colza seeds and sunflower seeds); 1201 - Soya beans, whether or not broken; 1005 - Maize or corn;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0909 - Seeds of anis, badian, fennel, coriander, cumin or caraway; juniper berries; 0908 - Nutmeg, mace and cardamoms; 0907 - Cloves, whole fruit, cloves and stems; 0803 - Bananas, incl. plantains, fresh or dried; 0906 - Cinnamon and cinnamon-tree flowers; 0904 - Pepper of the genus Piper; dried or crushed or ground fruits of the genus Capsicum or of the genus Pimenta; 0903 - Maté.; 0901 - Coffee, whether or not roasted or decaffeinated; coffee husks and skins; coffee substitutes containing coffee in any proportion; 0814 - Peel of citrus fruit or melons (including watermelons), fresh, frozen, dried or provisionally preserved in brine, in sulphur water or in other preservative solutions.; 0811 - Fruit and nuts, uncooked or cooked by steaming or boiling in water, frozen, whether or not containing added sugar or other sweetening matter;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0809 - Apricots, cherries, peaches incl. nectarines, plums and sloes, fresh; 0808 - Apples, pears and quinces, fresh; 0807 - Melons, incl. watermelons, and papaws "papayas", fresh; 0806 - Grapes, fresh or dried; 0805 - Citrus fruit, fresh or dried; 0905 - Vanilla; 0201 - Meat of bovine animals, fresh or chilled</t>
  </si>
  <si>
    <d:r xmlns:d="http://schemas.openxmlformats.org/spreadsheetml/2006/main">
      <d:rPr>
        <d:sz val="11"/>
        <d:rFont val="Calibri"/>
      </d:rPr>
      <d:t xml:space="preserve">https://members.wto.org/crnattachments/2024/SPS/JPN/24_07615_00_e.pdf</d:t>
    </d:r>
  </si>
  <si>
    <t>Bahrain, Kingdom of</t>
  </si>
  <si>
    <t>Yemen</t>
  </si>
  <si>
    <t>Norma Chilena NCh3335:2014 Acero - Mallas electrosoldadas de barras laminadas en caliente soldables para hormigón armado - Requisitos (Chilean Standard No. 3335:2014 Steel - Electrically welded wire mesh made of weldable hot-rolled bars and rods for the reinforcement of concrete - Requirements)</t>
  </si>
  <si>
    <t>The notified Standard establishes the requirements to be met by electrically welded wire mesh for use in the reinforcement of concrete.</t>
  </si>
  <si>
    <t>Decreto del Poder Ejecutivo de fecha 24 de octubre de 2024 por el cual se incorpora la Resolución GMC N° 18/23 -"Reglamento Técnico MERCOSUR sobre Clasificación de Productos de Higiene Personal, Cosméticos y Perfumes” (Executive Decree of 24 October 2024 incorporating GMC Resolution No. 18/23 - Technical Regulation on the classification of personal hygiene products, cosmetics and perfumes); (11 pages, in Spanish)</t>
  </si>
  <si>
    <t>The notified Executive Decree updates the classification of personal hygiene products, cosmetics and perfumes in order to prioritize regulatory actions on products that require greater sanitary surveillance owing to their target audience, area of application, specific formulation or proposed use. The new regulations will apply in the territory of the member States of MERCOSUR, to trade among them and to imports from outside the MERCOSUR area.</t>
  </si>
  <si>
    <t>Personal hygiene products, cosmetics and perfumes</t>
  </si>
  <si>
    <t>33 - ESSENTIAL OILS AND RESINOIDS; PERFUMERY, COSMETIC OR TOILET PREPARATIONS</t>
  </si>
  <si>
    <d:r xmlns:d="http://schemas.openxmlformats.org/spreadsheetml/2006/main">
      <d:rPr>
        <d:sz val="11"/>
        <d:rFont val="Calibri"/>
      </d:rPr>
      <d:t xml:space="preserve">https://members.wto.org/crnattachments/2024/TBT/URY/24_07617_00_s.pdf</d:t>
    </d:r>
  </si>
  <si>
    <t>Proposal of maximum residue limits (MRLs) for the following agricultural chemical:Pesticide: Inpyrfluxam.</t>
  </si>
  <si>
    <t>Meat and edible meat offal (HS codes: 02.01, 02.02, 02.03, 02.04, 02.05, 02.06, 02.07, 02.08 and 02.09)Aquatic animals and crustaceans, molluscs and other aquatic invertebrates (HS codes: 03.02, 03.03, 03.04, 03.06, 03.07 and 03.08)Dairy produce, birds' eggs and natural honey (HS codes: 04.01, 04.07, 04.08 and 04.09)Animal originated products (HS code: 05.04)Edible vegetables and certain roots and tubers (HS codes: 07.01, 07.02, 07.03, 07.04, 07.05, 07.06, 07.07, 07.08, 07.09, 07.10, 07.13 and 07.14)Edible fruit and peel of citrus fruit (HS codes: 08.04, 08.05, 08.06, 08.08, 08.09, 08.10, 08.11 and 08.14)Mate and spices (HS codes: 09.03, 09.04, 09.05, 09.06, 09.07, 09.08, 09.09 and 09.10)Cereals (HS codes: 10.01, 10.02, 10.03, 10.04, 10.05, 10.06, 10.07 and 10.08)Oil seeds and oleaginous fruits, miscellaneous grains, seeds and fruit (HS codes: 12.01, 12.02, 12.07 and 12.12)Animal fats and oils (HS codes: 15.01, 15.02 and 15.06)</t>
  </si>
  <si>
    <t>0504 - Guts, bladders and stomachs of animals (other than fish), whole and pieces thereof, fresh, chilled, frozen, salted, in brine, dried or smoked.; 0805 - Citrus fruit, fresh or dried; 0806 - Grapes, fresh or dried; 0808 - Apples, pears and quinces, fresh; 0809 - Apricots, cherries, peaches incl. nectarines, plums and sloes,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0903 - Maté.; 0904 - Pepper of the genus Piper; dried or crushed or ground fruits of the genus Capsicum or of the genus Pimenta; 0905 - Vanilla; 0906 - Cinnamon and cinnamon-tree flowers; 0907 - Cloves, whole fruit, cloves and stems; 0908 - Nutmeg, mace and cardamoms; 0804 - Dates, figs, pineapples, avocados, guavas, mangoes and mangosteens, fresh or dried; 0909 - Seeds of anis, badian, fennel, coriander, cumin or caraway; juniper berries; 1001 - Wheat and meslin; 1002 - Rye; 1003 - Barley; 1004 - Oats; 1005 - Maize or corn; 1006 - Rice; 1007 - Grain sorghum; 1008 - Buckwheat, millet, canary seed and other cereals (excl. wheat and meslin, rye, barley, oats, maize, rice and grain sorghum); 1201 - Soya beans, whether or not broken; 1202 - Groundnuts, whether or not shelled or broken (excl. roasted or otherwise cooked); 1207 - Other oil seeds and oleaginous fruits, whether or not broken (excl. edible nuts, olives, soya beans, groundnuts, copra, linseed, rape or colza seeds and sunflower seeds);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1501 - Pig fat, incl. lard, and poultry fat, rendered or otherwise extracted (excl. lard stearin and lard oil);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1502 - Fats of bovine animals, sheep or goats (excl. oil and oleostearin); 0714 - Roots and tubers of manioc, arrowroot, salep, Jerusalem artichokes, sweet potatoes and similar roots and tubers with high starch or inulin content, fresh, chilled, frozen or dried, whether or not sliced or in the form of pellets; sago pith; 0710 - Vegetables, uncooked or cooked by steaming or boiling in water, frozen; 0409 - Natural honey.;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0308 - Aquatic invertebrates other than crustaceans and molluscs, live, fresh, chilled, frozen, dried, salted or in brine, even smoked; 0307 - Molluscs, fit for human consumption, even smoked, whether in shell or not, live, fresh, chilled, frozen, dried, salted or in brine; 0306 - Crustaceans, whether in shell or not, live, fresh, chilled, frozen, dried, salted or in brine, even smoked, incl. crustaceans in shell cooked by steaming or by boiling in water; 0304 - Fish fillets and other fish meat, whether or not minced, fresh, chilled or frozen; 0303 - Frozen fish (excl. fish fillets and other fish meat of heading 0304); 0302 - Fish, fresh or chilled (excl. fish fillets and other fish meat of heading 0304);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0713 - Dried leguminous vegetables, shelled, whether or not skinned or split; 0206 - Edible offal of bovine animals, swine, sheep, goats, horses, asses, mules or hinnies, fresh, chilled or frozen; 0204 - Meat of sheep or goats, fresh, chilled or frozen; 0203 - Meat of swine, fresh, chilled or frozen; 0202 - Meat of bovine animals, frozen; 0201 - Meat of bovine animals, fresh or chilled; 0701 - Potatoes, fresh or chilled; 0702 - Tomatoes, fresh or chilled.; 0703 - Onions, shallots, garlic, leeks and other alliaceous vegetables, fresh or chilled; 0704 - Cabbages, cauliflowers, kohlrabi, kale and similar edible brassicas, fresh or chilled; 0705 - Lettuce "Lactuca sativa" and chicory "Cichorium spp.", fresh or chilled; 0706 - Carrots, turnips, salad beetroot, salsify, celeriac, radishes and similar edible roots, fresh or chilled; 0707 - Cucumbers and gherkins, fresh or chilled.; 0708 - Leguminous vegetables, shelled or unshelled,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0205 - Meat of horses, asses, mules or hinnies, fresh, chilled or frozen.; 1506 - Other animal fats and oils and their fractions, whether or not refined, but not chemically modified.</t>
  </si>
  <si>
    <d:r xmlns:d="http://schemas.openxmlformats.org/spreadsheetml/2006/main">
      <d:rPr>
        <d:sz val="11"/>
        <d:rFont val="Calibri"/>
      </d:rPr>
      <d:t xml:space="preserve">https://members.wto.org/crnattachments/2024/SPS/JPN/24_07614_00_e.pdf</d:t>
    </d:r>
  </si>
  <si>
    <t>Draft Ministerial Regulation Prescribing Industrial Products for Hydraulic Cement to Conform to the Standard B.E. ….</t>
  </si>
  <si>
    <t>The draft Ministerial Regulation mandates hydraulic cement to conform to the Thai Industrial Standards TIS 2594 - 25xx (20xx).This standard specifies technical specifications, packaging, marking and labelling, sampling, and testing requirements for hydraulic cements for general construction and special structural construction use. </t>
  </si>
  <si>
    <t>Hydraulic cement (ICS 91.100.10)</t>
  </si>
  <si>
    <t>91.100.10 - Cement. Gypsum. Lime. Mortar</t>
  </si>
  <si>
    <d:r xmlns:d="http://schemas.openxmlformats.org/spreadsheetml/2006/main">
      <d:rPr>
        <d:sz val="11"/>
        <d:rFont val="Calibri"/>
      </d:rPr>
      <d:t xml:space="preserve">https://members.wto.org/crnattachments/2024/TBT/THA/24_07580_00_x.pdf</d:t>
    </d:r>
  </si>
  <si>
    <t>Draft Food Safety and Standards (Licensing and Registration of Food Business) Amendment Regulations, 2024</t>
  </si>
  <si>
    <t>In theDraft Food Safety and Standards (Licensing and Registration of Food Business) Amendment Regulations, 2024, provision for Digitizing the Issuance of License and Registration and hygienic requirement for primary milk producers.</t>
  </si>
  <si>
    <d:r xmlns:d="http://schemas.openxmlformats.org/spreadsheetml/2006/main">
      <d:rPr>
        <d:sz val="11"/>
        <d:rFont val="Calibri"/>
      </d:rPr>
      <d:t xml:space="preserve">https://members.wto.org/crnattachments/2024/SPS/IND/24_07597_00_x.pdf
https://www.fssai.gov.in/upload/uploadfiles/files/gazette_licensing.pdf</d:t>
    </d:r>
  </si>
  <si>
    <t>Establece requisitos fitosanitarios de importación para envíos de semillas de cualquier especie y procedentes de todo origen, en relación al control de malezas cuarentenarias y deroga Resolución SAG No 3.139 de 2003 (Phytosanitary import requirements for shipments of seeds, of any species and any origin, to control quarantine diseases, and repeal of SAG Resolution No. 3.139 of 2003).</t>
  </si>
  <si>
    <t>The notified Resolution establishes phytosanitary requirements for the importation of seeds of various species in order to control quarantine diseases. It includes guidelines on official seed sampling and purity analysis that must be implemented to determine the presence of quarantine diseases, in accordance with the International Standards for Phytosanitary Measures (ISPM) and the International Seed Testing Association (ISTA). In addition, the Resolution exempts from analysis certain lots of seeds that, owing to their harvesting and processing characteristics, have a minimal risk of introducing diseases. It also details a specific procedure for seeds intended for research. Further details can be found in the document attached to this notification.</t>
  </si>
  <si>
    <t>Seeds of any species</t>
  </si>
  <si>
    <d:r xmlns:d="http://schemas.openxmlformats.org/spreadsheetml/2006/main">
      <d:rPr>
        <d:sz val="11"/>
        <d:rFont val="Calibri"/>
      </d:rPr>
      <d:t xml:space="preserve">https://members.wto.org/crnattachments/2024/SPS/CHL/24_07578_00_s.pdf</d:t>
    </d:r>
  </si>
  <si>
    <t>DraftFood Safety and Standards (Food Products Standards and Food Additives) Amendment Regulations, 2024</t>
  </si>
  <si>
    <t>TheDraftFood Safety and Standards (Food Products Standards and Food Additives) Amendment Regulations, 2024 is related to fatty acid composition of milk fat extracted from milk and milk products, standards for fermented milk products, interesterified vegetable fat/oil, fat spread, haleem, garam masala, dried peppermint, Appendix A and Appendix C.</t>
  </si>
  <si>
    <d:r xmlns:d="http://schemas.openxmlformats.org/spreadsheetml/2006/main">
      <d:rPr>
        <d:sz val="11"/>
        <d:rFont val="Calibri"/>
      </d:rPr>
      <d:t xml:space="preserve">https://members.wto.org/crnattachments/2024/SPS/IND/24_07592_00_x.pdf</d:t>
    </d:r>
  </si>
  <si>
    <t>Designation of Shitei Yakubutsu (designated substances), based on the Act on Securing Quality, Efficacy and Safety of Products Including Pharmaceuticals and Medical Devices (hereinafter referred to as the Act). (1960, Law No.145)</t>
  </si>
  <si>
    <t>Proposal for the additional designation of 4 substances as Shitei Yakubutsu, and their proper uses under the Act.</t>
  </si>
  <si>
    <t>Substances with probable effects on the central nervous system</t>
  </si>
  <si>
    <d:r xmlns:d="http://schemas.openxmlformats.org/spreadsheetml/2006/main">
      <d:rPr>
        <d:sz val="11"/>
        <d:rFont val="Calibri"/>
      </d:rPr>
      <d:t xml:space="preserve">https://members.wto.org/crnattachments/2024/TBT/JPN/24_07552_00_e.pdf</d:t>
    </d:r>
  </si>
  <si>
    <t>DEAS 1119-6:2024, Skin applied mosquito repellent — Specification — Part 6: Petroleum jelly, First Edition</t>
  </si>
  <si>
    <t>This Draft East African Standard specifies the requirements, sampling and test methods for skin applied mosquito repellent in form of petroleum jelly.</t>
  </si>
  <si>
    <t>Insecticides, put up in forms or packings for retail sale or as preparations or articles (excl. goods of subheadings 3808.52 to 3808.69) (HS code(s): 380891); Insecticides (ICS code(s): 65.100.10)</t>
  </si>
  <si>
    <t>380891 - Insecticides, put up in forms or packings for retail sale or as preparations or articles (excl. goods of subheadings 3808.52 to 3808.69)</t>
  </si>
  <si>
    <t>65.100.10 - Insecticides</t>
  </si>
  <si>
    <t>Consumer information, labelling (TBT); Prevention of deceptive practices and consumer protection (TBT); Protection of human health or safety (TBT); Protection of the environment (TBT); Quality requirements (TBT); Harmonization (TBT); Reducing trade barriers and facilitating trade (TBT)</t>
  </si>
  <si>
    <d:r xmlns:d="http://schemas.openxmlformats.org/spreadsheetml/2006/main">
      <d:rPr>
        <d:sz val="11"/>
        <d:rFont val="Calibri"/>
      </d:rPr>
      <d:t xml:space="preserve">https://members.wto.org/crnattachments/2024/TBT/UGA/24_07571_00_e.pdf</d:t>
    </d:r>
  </si>
  <si>
    <t>DUS 1685:2024 Standard Specification for Denatured Ethanol for Use as Cooking and Appliance Fuel, Second Edition</t>
  </si>
  <si>
    <t>This Draft Uganda Standard covers denatured ethanol intended to be used as a cooking or appliance fuel, or both. This product is intentionally denatured as an additional deterrent to consumption and to avoid beverage alcohol use. This specification allows for various denaturants to be used for the intended purpose of cooking or appliance fuel. The application and intent of this product is for household cooking fuel and not for on-road motor fuel use.</t>
  </si>
  <si>
    <t>Denatured ethyl alcohol and other spirits of any strength (HS code(s): 220720); Fuels (ICS code(s): 75.160)</t>
  </si>
  <si>
    <t>220720 - Denatured ethyl alcohol and other spirits of any strength</t>
  </si>
  <si>
    <t>75.160 - Fuels</t>
  </si>
  <si>
    <t>Resolución 20243040053595 del 31 de octubre de 2024 "Por la cual se prorroga la entrada en vigencia de la Resolución 20223040044455 de 2022 en lo relacionado con llantas neumáticas nuevas, rencauchadas y de repuesto; la Resolución 20223040044585 de 2022 aplicable a los sistemas de frenado y sus componentes para uso en vehículos automotores, remolques y semirremolques; y la Resolución 20223040065305 de 2022 aplicable a llantas neumáticas destinadas a motocicletas (Resolution No. 20243040053595 of 31 October 2024 postponing the entry into force of Resolution No. 20223040044455 of 2022 concerning new pneumatic tyres, retreaded and spares; Resolution No. 20223040044585 of 2022 on braking systems and their components for use in motor vehicles, trailers and semi-trailers; and Resolution No. 20223040065305 of 2022 on pneumatic tyres for motorcycles)</t>
  </si>
  <si>
    <t>The Republic of Colombia hereby notifies Resolution No. 20243040053595 of 31 October 2024 postponing the entry into force of Resolution No. 20223040044455 of 2022 concerning new pneumatic tyres, retreaded and spares; Resolution No. 20223040044585 of 2022 on braking systems and their components for use in motor vehicles, trailers and semi-trailers; and Resolution No. 20223040065305 of 2022 on pneumatic tyres for motorcycles, in relation to Ministry of Transport Resolution No. 20223040044455 of 2022 issuing the Technical Regulation applicable to pneumatic tyres for motor vehicles, trailers and semi-trailers, their installation processes, related systems, and setting forth other provisions, as notified in document G/TBT/N/COL/251/Add.2. __________</t>
  </si>
  <si>
    <t>VEHICLES OTHER THAN RAILWAY OR TRAMWAY ROLLING STOCK, AND PARTS AND ACCESSORIES THEREOF (HS code(s): 87); Road vehicle tyres (ICS code(s): 83.160.10)</t>
  </si>
  <si>
    <t>87 - VEHICLES OTHER THAN RAILWAY OR TRAMWAY ROLLING STOCK, AND PARTS AND ACCESSORIES THEREOF; 87 - VEHICLES OTHER THAN RAILWAY OR TRAMWAY ROLLING STOCK, AND PARTS AND ACCESSORIES THEREOF</t>
  </si>
  <si>
    <t>83.160.10 - Road vehicle tyres; 83.160.10 - Road vehicle tyres</t>
  </si>
  <si>
    <d:r xmlns:d="http://schemas.openxmlformats.org/spreadsheetml/2006/main">
      <d:rPr>
        <d:sz val="11"/>
        <d:rFont val="Calibri"/>
      </d:rPr>
      <d:t xml:space="preserve">https://members.wto.org/crnattachments/2024/TBT/COL/final_measure/24_07548_00_s.pdf</d:t>
    </d:r>
  </si>
  <si>
    <t>Establece requisitos fitosanitarios de importación para el ingreso de semillas de maíz (Zea mays L.) procedentes de todo origen y modifica Resolución Exenta No 1.187 de 2022 (Phytosanitary requirements for the importation into Chile of maize (Zea mays L.) seeds, of any origin, and amendment of Exempt Resolution No. 1.187 of 2022).</t>
  </si>
  <si>
    <t>The notified draft Resolution establishes updated phytosanitary requirements for the importation of maize seeds to avoid the entry of quarantine pests into Chile. The requirements include additional declarations for pests such as Stenocarpella macrospora, Pantoea stewartii and Prostephanus truncatus. In addition, the requirements applicable to shipments for research and development, as opposed to shipments for propagation and trade, are specified. The new regulations also remove the additional declaration that was previously required for maize seeds. Further details can be found in the document attached to this notification.</t>
  </si>
  <si>
    <d:r xmlns:d="http://schemas.openxmlformats.org/spreadsheetml/2006/main">
      <d:rPr>
        <d:sz val="11"/>
        <d:rFont val="Calibri"/>
      </d:rPr>
      <d:t xml:space="preserve">https://members.wto.org/crnattachments/2024/SPS/CHL/24_07579_00_s.pdf</d:t>
    </d:r>
  </si>
  <si>
    <t>Notice of Administration Order of Saudi Food and Drug Authority Ref. No. 20248 dated 28 October 2024 entitled “Temporary ban on importation of poultry meat, eggs and their products originating from Wielkopolskie in Poland”</t>
  </si>
  <si>
    <t>Following the WOAH report dated 21 October 2024, a Highly Pathogenic Avian Influenza Virus (HPAI) outbreak has occurred in Wielkopolskie in Poland. In compliance with the World Organisation for Animal Health (WOAH), Terrestrial Animal Health Code Chapter 10.9, it is deemed necessary for the Kingdom of Saudi Arabia to prevent the entry of Highly Pathogenic Avian Influenza Virus (HPAI) into the country. Therefore, the import of poultry meat, eggs and their products (with the exception of processed poultry meat and egg products exposed to either heat or other treatments that ensure deactivation of Highly Pathogenic Avian Influenza Virus (HPAI)) from Wielkopolskie in Poland to the Kingdom of Saudi Arabia is temporarily suspended.</t>
  </si>
  <si>
    <t>Human health; Animal health; Food safety; Zoonoses; Animal diseases; Pest- or Disease- free Regions / Regionalization; Avian Influenza</t>
  </si>
  <si>
    <d:r xmlns:d="http://schemas.openxmlformats.org/spreadsheetml/2006/main">
      <d:rPr>
        <d:sz val="11"/>
        <d:rFont val="Calibri"/>
      </d:rPr>
      <d:t xml:space="preserve">https://members.wto.org/crnattachments/2024/SPS/SAU/24_07576_00_x.pdf</d:t>
    </d:r>
  </si>
  <si>
    <t>Resolución 20243040053595 del 31 de octubre de 2024 "Por la cual se prorroga la entrada en vigencia de la Resolución 20223040044455 de 2022 en lo relacionado con llantas neumáticas nuevas, rencauchadas y de repuesto; la Resolución 20223040044585 de 2022 aplicable a los sistemas de frenado y sus componentes para uso en vehículos automotores, remolques y semirremolques; y la Resolución 20223040065305 de 2022 aplicable a llantas neumáticas destinadas a motocicletas” (Resolution No. 20243040053595 of 31 October 2024 postponing the entry into force of Resolution No. 20223040044455 of 2022 concerning new pneumatic tyres, retreaded and spares; Resolution No. 20223040044585 of 2022 on braking systems and their components for use in motor vehicles, trailers and semi-trailers; and Resolution No. 20223040065305 of 2022 on pneumatic tyres for motorcycles)</t>
  </si>
  <si>
    <t xml:space="preserve">The Republic of Colombia hereby notifies Resolution No. 20243040053595 of 31 October 2024 postponing the entry into force of Resolution No. 20223040044455 of 2022 concerning new pneumatic tyres, retreaded and spares; Resolution No. 20223040044585 of 2022 on braking systems and their components for use in motor vehicles, trailers and semi-trailers; and Resolution No. 20223040065305 of 2022 on pneumatic tyres for motorcycles, in relation to Ministry of Transport Resolution No. 20223040044585 of 2022 issuing the Technical Regulation applicable to  braking systems and their components for use in motor vehicles, trailers and semi-trailers and introducing other provisions, as notified in document G/TBT/N/COL/254/Add.1. __________</t>
  </si>
  <si>
    <t>Motor vehicles, trailers and semi-trailers, with regard to the braking systems in brand new motor vehicles</t>
  </si>
  <si>
    <t>43.040.40 - Braking systems; 43.040.40 - Braking systems; 87 - PAINT AND COLOUR INDUSTRIES; 87 - PAINT AND COLOUR INDUSTRIES</t>
  </si>
  <si>
    <d:r xmlns:d="http://schemas.openxmlformats.org/spreadsheetml/2006/main">
      <d:rPr>
        <d:sz val="11"/>
        <d:rFont val="Calibri"/>
      </d:rPr>
      <d:t xml:space="preserve">https://members.wto.org/crnattachments/2024/TBT/COL/final_measure/24_07550_00_s.pdf</d:t>
    </d:r>
  </si>
  <si>
    <t>Draft Resolution 1272, 12 August 2024</t>
  </si>
  <si>
    <t>Draft Resolution 1272, 12 August 2024 - previously notified through G/SPS/N/BRA/2322 - was adopted as Normative Instruction 333, of 30 October 2024. The regulation proposes the update of active ingredients A18 - ABAMECTIN , A26 - AZOXYSTROBINE, B26 - BIFENTRIN, C36 - CYPROCONAZOLE, C63 - LAMBDA - CYALOTHRINE, C66 - CYAZOPHAMIDE, C70 - CHLORANTRANILIPROLE, D17 - DIFLUBENZUROM, D18 - DIMETHOATE, D36 - DIFENOCONAZOLE, E05 – ETEFOM, F49 – FLUDIOXONIL, F65 – FLUOPICOLIDE, F69 – FLUPYRADIFURONE, F76 – FLUINDAPIR, F80 – FLUOXAPIPROLINE, G05 – AMMONIUM GLUFOSINATE, I21 – INDOXACARB, I30 – IMPIRFLUXAM, I32 – ISOCYCLOSERAM, M45 – MANDIPROPAMIDE, N09 – NOVALUROM, P21 – AZOL, T32 – TEBUCONAZOLE AND T56 – ETHYLICTRINEXAPAQUE on the Monograph List of Active Ingredients for Pesticides, Household Cleaning Products and Wood Preservatives, which was published by Normative Instruction 103 on 19 October 2021 in the Brazilian Official Gazette (DOU - Diário Oficial da União)The final text is available only in Portuguese and can be downloaded at:</t>
  </si>
  <si>
    <t>Environment. Health Protection. Safety (ICS code(s): 13)</t>
  </si>
  <si>
    <d:r xmlns:d="http://schemas.openxmlformats.org/spreadsheetml/2006/main">
      <d:rPr>
        <d:sz val="11"/>
        <d:rFont val="Calibri"/>
      </d:rPr>
      <d:t xml:space="preserve">https://members.wto.org/crnattachments/2024/SPS/BRA/24_07560_00_x.pdf
https://antigo.anvisa.gov.br/documents/10181/6843918/IN_333_2024_.pdf/f221ac84-2d8d-4528-974f-4984aa93f7f6</d:t>
    </d:r>
  </si>
  <si>
    <t>DUS 916:2024 Standard Specification for Denatured Fuel Ethanol for Blending with Gasolines for Use as Automotive Spark-Ignition Engine Fuel, Third edition</t>
  </si>
  <si>
    <t xml:space="preserve">This Draft Uganda Standard covers nominally anhydrous denatured fuel ethanol intended to be blended with unleaded or leaded gasolines at 1 % to 15 % by volume for use as automotive spark-ignition engine fuel covered by Specification D4814 as well as other fuel applications or specifications involving ethanol._x000D_
</t>
  </si>
  <si>
    <t>DraftFood Safety and Standards (Import) Amendment Regulations, 2024</t>
  </si>
  <si>
    <t>TheDraftFood Safety and Standards (Import) Amendment Regulations, 2024 is related to Reference of Methods of Analysis and Signing Authority for primary and appeal samples in Food Safety and Standards (Import) Regulations.</t>
  </si>
  <si>
    <t>Resolution governing the importation, for consumption, of fresh carrot roots (Daucus carota) from the Dominican Republic Costa Rica hereby advises that the phytosanitary measures notified in document G/SPS/N/CRI/280 have been adopted under Resolution No. 069-2024-CV-ARP-SFE of the State Phytosanitary Service, Standards and Regulations Department, Pest Risk Analysis Unit, establishing phytosanitary requirements for the importation, for consumption, of fresh carrot roots (Daucus carota) originating in the Dominican Republic. The draft Resolution was circulated on 4 September 2024. The date of entry into force will be six months after signature of the final Resolution. https://members.wto.org/crnattachments/2024/SPS/CRI/24_07577_00_s.pdf</t>
  </si>
  <si>
    <t>Fresh carrots (HS code(s): 070610)</t>
  </si>
  <si>
    <t>070610 - Fresh or chilled carrots and turnips; 070610 - Fresh or chilled carrots and turnips</t>
  </si>
  <si>
    <d:r xmlns:d="http://schemas.openxmlformats.org/spreadsheetml/2006/main">
      <d:rPr>
        <d:sz val="11"/>
        <d:rFont val="Calibri"/>
      </d:rPr>
      <d:t xml:space="preserve">https://members.wto.org/crnattachments/2024/SPS/CRI/24_07577_00_s.pdf</d:t>
    </d:r>
  </si>
  <si>
    <t>SDA/MAPA ORDINANCE No. 1.190, of 30 October 2024 - Establishes the phytosanitary requirements for the import of hydrangea (Hydrangea spp.) propagation material from any origin</t>
  </si>
  <si>
    <t>The phytosanitary requirements for the importation of hydrangea (Hydrangea spp.) propagating material (Category 4) from any source are established.</t>
  </si>
  <si>
    <t>Propagative material (Category 4) of Hydrangea spp.</t>
  </si>
  <si>
    <t>Plant health; Territory protection; Adoption/publication/entry into force of reg.; Territory protection; Plant health</t>
  </si>
  <si>
    <d:r xmlns:d="http://schemas.openxmlformats.org/spreadsheetml/2006/main">
      <d:rPr>
        <d:sz val="11"/>
        <d:rFont val="Calibri"/>
      </d:rPr>
      <d:t xml:space="preserve">https://members.wto.org/crnattachments/2024/SPS/BRA/24_07558_00_x.pdf
https://www.in.gov.br/web/dou/-/portaria-sda/mapa-n-1.190-de-30-de-outubro-de-2024-593666947</d:t>
    </d:r>
  </si>
  <si>
    <t>The Republic of Colombia hereby notifies Resolution No. 20243040053595 of 31 October 2024 postponing the entry into force of Resolution No. 20223040044455 of 2022 concerning new pneumatic tyres, retreaded and spares; Resolution No. 20223040044585 of 2022 on braking systems and their components for use in motor vehicles, trailers and semi-trailers; and Resolution No. 20223040065305 of 2022 on pneumatic tyres for motorcycles, in relation to Ministry of Transport Resolution No. 20223040065305 of 2022 issuing the Technical Regulations that establish the requirements applicable to tyres for motorcycles and setting forth other provisions, as notified in document G/TBT/N/COL/258/Rev.1/Add.2. __________</t>
  </si>
  <si>
    <t>Motorcycles (including mopeds) and cycles fitted with an auxiliary motor, with or without side-cars; side-cars (HS code(s): 8711)</t>
  </si>
  <si>
    <t>8711 - Motorcycles, incl. mopeds, and cycles fitted with an auxiliary motor, with or without side-cars; side-cars; 8711 - Motorcycles, incl. mopeds, and cycles fitted with an auxiliary motor, with or without side-cars; side-cars</t>
  </si>
  <si>
    <d:r xmlns:d="http://schemas.openxmlformats.org/spreadsheetml/2006/main">
      <d:rPr>
        <d:sz val="11"/>
        <d:rFont val="Calibri"/>
      </d:rPr>
      <d:t xml:space="preserve">https://members.wto.org/crnattachments/2024/TBT/COL/final_measure/24_07549_00_s.pdf</d:t>
    </d:r>
  </si>
  <si>
    <t>Letter of the Federal Service for Veterinary and Phytosanitary Surveillance No. FS-ARe-7/6247-3 of 31 October 2024, and previously issued letters (No. FS-YUSH-7/10727 of 18 April 2022, No. FS-ARe-7/4986-3 of 9 February 2023, No. FS-ARe-7/5590-3 of 24 November 2023, No. FS-ARe-7/5712-3 of 13 February 2024, No. FS-ARe-7/5888-3 of 23 May 2024)</t>
  </si>
  <si>
    <t>The Russian Federation notifies temporary restriction on imports of life poultry, poultry products and birds' eggs from Nitra region of the Slovak Republic due to deterioration of the epizootic situation with highly pathogenic avian influenza in accordance with the letter of the Federal Service for Veterinary and Phytosanitary Surveillance No. FS-ARe-7/6247-3 of 31 October 2024, as well as the amendments made with respect to the enterprises of Bratislava and Trnava regions in accordance with the letters previously issued.</t>
  </si>
  <si>
    <t>Live poultry, poultry products, birds' eggs (HS Codes: 0105; 0106; 0207; 0407, 0408)</t>
  </si>
  <si>
    <t>0105 - Live poultry, "fowls of the species Gallus domesticus, ducks, geese, turkeys and guinea fowls"; 0106 - Live animals (excl. horses, asses, mules, hinnies, bovine animals, swine, sheep, goats, poultry, fish, crustaceans, molluscs and other aquatic invertebrates, and microorganic cultures etc.); 0207 - Meat and edible offal of fowls of the species Gallus domesticus, ducks, geese, turkeys and guinea fowls, fresh, chilled or frozen; 0407 - Birds' eggs, in shell, fresh, preserved or cooked; 0408 - Birds' eggs, not in shell, and egg yolks, fresh, dried, cooked by steaming or by boiling in water, moulded, frozen or otherwise preserved, whether or not containing added sugar or other sweetening matter; 0408 - Birds' eggs, not in shell, and egg yolks, fresh, dried, cooked by steaming or by boiling in water, moulded, frozen or otherwise preserved, whether or not containing added sugar or other sweetening matter; 0105 - Live poultry, "fowls of the species Gallus domesticus, ducks, geese, turkeys and guinea fowls"; 0106 - Live animals (excl. horses, asses, mules, hinnies, bovine animals, swine, sheep, goats, poultry, fish, crustaceans, molluscs and other aquatic invertebrates, and microorganic cultures etc.); 0207 - Meat and edible offal of fowls of the species Gallus domesticus, ducks, geese, turkeys and guinea fowls, fresh, chilled or frozen; 0407 - Birds' eggs, in shell, fresh, preserved or cooked</t>
  </si>
  <si>
    <t>Animal diseases; Zoonoses; Animal health; Avian Influenza; Modification of content/scope of regulation; Animal health; Zoonoses; Animal diseases; Avian Influenza</t>
  </si>
  <si>
    <d:r xmlns:d="http://schemas.openxmlformats.org/spreadsheetml/2006/main">
      <d:rPr>
        <d:sz val="11"/>
        <d:rFont val="Calibri"/>
      </d:rPr>
      <d:t xml:space="preserve">https://fsvps.gov.ru/files/ukazanie-rosselhoznadzora-ot-31-oktjabrja-2024-goda-fs-arje-7-6247-3/
https://fsvps.gov.ru/files/ukazanie-rosselhoznadzora-ot-18-aprel/
https://fsvps.gov.ru/files/ukazanie-rosselhoznadzora-ot-9-fevralja-2023-goda-fs-arje-7-4986-3-4/
https://fsvps.gov.ru/files/ukazanie-rosselhoznadzora-ot-24-nojabrja-2023-goda-fs-arje-7-5590-3/
https://fsvps.gov.ru/files/ukazanie-rosselhoznadzora-ot-13-fevralja-2024-goda-fs-arje-7-5712-3/
https://fsvps.gov.ru/files/ukazanie-rosselhoznadzora-ot-23-maja-2024-goda-fs-arje-7-5888-3/</d:t>
    </d:r>
  </si>
  <si>
    <t>Draft Food Safety and Standards (Prohibition and Restrictions on Sales) Amendment Regulations, 2024</t>
  </si>
  <si>
    <t>Draft Food Safety and Standards (Prohibition and Restrictions on Sales) Amendment Regulations, 2024propose omission of provision related to restriction on the sale of Sal-seed fat for any other purpose except for bakery and confectionery.</t>
  </si>
  <si>
    <d:r xmlns:d="http://schemas.openxmlformats.org/spreadsheetml/2006/main">
      <d:rPr>
        <d:sz val="11"/>
        <d:rFont val="Calibri"/>
      </d:rPr>
      <d:t xml:space="preserve">https://members.wto.org/crnattachments/2024/SPS/IND/24_07591_00_x.pdf
https://www.fssai.gov.in/upload/uploadfiles/files/gazette_071024-1.pdf</d:t>
    </d:r>
  </si>
  <si>
    <t>Proyecto de Reglamento Técnico sobre Vajilla y/o utensilios de mesa de plástico reciclables (Draft Technical Regulation on recyclable plastic tableware and/or flatware); (24 pages, in Spanish)</t>
  </si>
  <si>
    <t xml:space="preserve">The notified draft Technical Regulation establishes the technical and labelling requirements to be met in the manufacture of recyclable plastic tableware and/or flatware for food and beverages for human consumption, importation, distribution, delivery and marketing under Law No. 30884, which regulates single-use plastic and disposable containers and packaging, to ensure that no microplastic pollution occurs or hazardous substances are produced. It also seeks to prevent and mitigate the risks to and adverse impact on the environment and health within the context of a circular economy, and to reduce information asymmetry in the consumption chain. G/TBT/N/PER/166  - 3 -</t>
  </si>
  <si>
    <t xml:space="preserve">Code Product description Product 39.16 Monofilament of which any cross-sectional dimension exceeds 1 mm, rods, sticks and profile shapes, whether or not surface-worked but not otherwise worked, of plastics. Beverage stirrers 3916.10.00.00 - Of polymers of ethylene 3916.20.00.00 - Of polymers of vinyl chloride 3916.90.00.00 - Of other plastics 39.17 Tubes, pipes and hoses, and fittings therefor (for example, joints, elbows, flanges), of plastics. Beverage stirrers and cup sleeves  - Tubes, pipes and hoses, rigid: G/TBT/N/PER/166  - 2 -    3917.21 - - Of polymers of ethylene 3917.21.90.00 - - - Other 3917.22.00.00 - - Of polymers of propylene 3917.23 - - Of polymers of vinyl chloride 3917.23.90.00 - - - Other 3917.29 - - Of other plastics  - - - Other 3917.29.99.00 - - - - Other  Other tubes, pipes and hoses: 3917.32 - - Other, not reinforced or otherwise combined with other materials, without fittings  - - - Other 3917.32.99.00 - - - - Other 3917.39 - - Other: 3917.39.90.00 - - - Other 39.24 Tableware, kitchenware, other household articles and hygienic or toilet articles, of plastics. Tableware and household utensils (See definition No. 23 of the Technical Regulations) 3924.10 - Tableware and kitchenware 3924.10.90.00 - - Other 3924.90.00.00 _ Other</t>
  </si>
  <si>
    <t>3916 - Monofilament of which any cross-sectional dimension &gt; 1 mm, rods, sticks and profile shapes, of plastics, whether or not surface-worked but not further worked; 39172 - - Tubes, pipes and hoses, rigid:; 3924 - Tableware, kitchenware, other household articles and toilet articles, of plastics (excl. baths, shower-baths, washbasins, bidets, lavatory pans, seats and covers, flushing cisterns and similar sanitary ware)</t>
  </si>
  <si>
    <t>83.080 - Plastics; 97.040.60 - Cookware, cutlery and flatware</t>
  </si>
  <si>
    <d:r xmlns:d="http://schemas.openxmlformats.org/spreadsheetml/2006/main">
      <d:rPr>
        <d:sz val="11"/>
        <d:rFont val="Calibri"/>
      </d:rPr>
      <d:t xml:space="preserve">https://members.wto.org/crnattachments/2024/TBT/PER/24_07559_00_s.pdf
https://www.gob.pe/institucion/produce/normas-legales/5580205-206-2024-produce
http://extranet.comunidadandina.org/sirt/public/buscapalavra.aspx
http://consultasenlinea.mincetur.gob.pe/notificaciones/Publico/FrmBuscador.aspx
</d:t>
    </d:r>
  </si>
  <si>
    <t>UAE GCC Technical Regulation for  Terrestrial Radio Receiver Specifications  for AM/FM/T-DAB+</t>
  </si>
  <si>
    <t>This GCC Regulation shall apply to all producers, manufacturers, importers, and retailers who wish to sell radio receivers and all other products that have built-in radio receivers in the GCC countries.This specification shall be used to assess the eligibility of a product for use in the GCC countries.This specification covers devices which can receive terrestrially transmitted AM, FM, and T-DAB+ radio services. Some of these devices may also receive other digital radio services via alternative delivery platforms, such as the Internet. This specification does not cover details of a receiver intended to receive digital services via these alternative delivery platforms.This specification covers many types of receivers, including home receivers, portable receivers, devices integrated into the vehicle dashboard, and aftermarket devices mounted in the dashboard, behind the dashboard, to the vehicle windscreen, or elsewhere.This specification covers devices whose sole function is to receive radio services, and also devices that have one or more other functions in addition to receiving radio services.</t>
  </si>
  <si>
    <t>Radio receivers (ICS code(s): 33.160.20)</t>
  </si>
  <si>
    <t>33.160.20 - Radio receivers</t>
  </si>
  <si>
    <t>National security requirements (TBT); Prevention of deceptive practices and consumer protection (TBT); Protection of human health or safety (TBT); Quality requirements (TBT); Harmonization (TBT)</t>
  </si>
  <si>
    <d:r xmlns:d="http://schemas.openxmlformats.org/spreadsheetml/2006/main">
      <d:rPr>
        <d:sz val="11"/>
        <d:rFont val="Calibri"/>
      </d:rPr>
      <d:t xml:space="preserve">https://members.wto.org/crnattachments/2024/TBT/ARE/24_07521_00_e.pdf</d:t>
    </d:r>
  </si>
  <si>
    <t>PCD 643: 2024, Food grade citric acid— specification, First editionNote: This Draft Tanzania Standard was also notified under SPS committee; </t>
  </si>
  <si>
    <t>This draft Zanzibar national standard specifies requirements, method of sampling and test for food grade citric acid.</t>
  </si>
  <si>
    <t>Carboxylic acids with aldehyde or ketone function but without other oxygen function, their anhydrides, halides, peroxides, peroxyacids and their halogenated, sulphonated, nitrated or nitrosated derivatives (HS code(s): 291830); Cereals, pulses and derived products (ICS code(s): 67.060)</t>
  </si>
  <si>
    <t>291830 - Carboxylic acids with aldehyde or ketone function but without other oxygen function, their anhydrides, halides, peroxides, peroxyacids and their halogenated, sulphonated, nitrated or nitrosated derivatives</t>
  </si>
  <si>
    <t>Consumer information, labelling (TBT); Protection of human health or safety (TBT); Quality requirements (TBT); Reducing trade barriers and facilitating trade (TBT); Cost saving and productivity enhancement (TBT)</t>
  </si>
  <si>
    <d:r xmlns:d="http://schemas.openxmlformats.org/spreadsheetml/2006/main">
      <d:rPr>
        <d:sz val="11"/>
        <d:rFont val="Calibri"/>
      </d:rPr>
      <d:t xml:space="preserve">https://members.wto.org/crnattachments/2024/TBT/TZA/24_07513_00_s.pdf</d:t>
    </d:r>
  </si>
  <si>
    <t>Modifica Resolución 9.372/2019 que modifica y aprueba texto coordinado y sistematizado de la Resolución 1.408 de 2001 que establece requisitos fitosanitarios de importación para frutos frescos de Rubus spp., procedentes de Estados Unidos de Norteamérica, y modifica Resolución 1.423 de 2010 que establece requisitos fitosanitarios para la importación de frutas, plantas y partes de plantas hospederas de Epiphyas postvittana, procedentes de los Estados de California y Hawaii de Estados Unidos de Norteamérica (Amendment to Resolution No. 9.372/2019, which amends and approves the coordinated and consolidated text of Resolution No. 1.408 of 2001, establishing phytosanitary import requirements for fresh Rubus spp. berries from the United States of America, and amendment to Resolution No. 1.423 of 2010, establishing phytosanitary requirements for imports of plants that are host to Epiphyas postvittana from the states of California and Hawaii in the United States of America).</t>
  </si>
  <si>
    <t>The notified document updates the Regulation establishing phytosanitary requirements for the importation to Chile of fresh Rubus spp. berries from the United States of America as the pest Epiphyas postvittana is present in the United States. Further details can be found in the document attached to this notification.</t>
  </si>
  <si>
    <t>Plant health; Pests; Pest- or Disease- free Regions / Regionalization</t>
  </si>
  <si>
    <d:r xmlns:d="http://schemas.openxmlformats.org/spreadsheetml/2006/main">
      <d:rPr>
        <d:sz val="11"/>
        <d:rFont val="Calibri"/>
      </d:rPr>
      <d:t xml:space="preserve">https://members.wto.org/crnattachments/2024/SPS/CHL/24_07545_00_s.pdf</d:t>
    </d:r>
  </si>
  <si>
    <t>AFDC 12 (3260) DTZS, Fruit juices, puree, pulp and nectars — SpecificationNote: This Draft Tanzania Standard was also notified under SPS committee; </t>
  </si>
  <si>
    <t>1.1 This Tanzania Standard specifies requirements, methods of sampling and test of fruit juices, puree, pulp and nectars intended for direct human consumption or for further processing. 1.2 This standard also applies to the following fruit juices: a) concentrated fruit puree; b) concentrated fruit juices; c) fruit juice from concentrate; d) water extracted fruit juice; e) dehydrated fruit juice; and f) fruit juice powder.</t>
  </si>
  <si>
    <t>Jams, jellies, marmalades, purées or pastes of fruit, obtained by cooking, whether or not containing added sugar or other sweetening matter (excl. citrus fruit and homogenised preparations of subheading 2007.10) (HS code(s): 200799); Vegetables and derived products (ICS code(s): 67.080.20)</t>
  </si>
  <si>
    <d:r xmlns:d="http://schemas.openxmlformats.org/spreadsheetml/2006/main">
      <d:rPr>
        <d:sz val="11"/>
        <d:rFont val="Calibri"/>
      </d:rPr>
      <d:t xml:space="preserve">https://members.wto.org/crnattachments/2024/TBT/TZA/24_07517_00_e.pdf</d:t>
    </d:r>
  </si>
  <si>
    <t>DEAS 1120-2: 2024, Mosquito repellent — Performance test guidelines — Part 2: Spatial, First edition.</t>
  </si>
  <si>
    <t>This Draft East African Standard provides guidelines for the design and execution of studies to evaluate the performance of mosquito repellents formulated and prepared for spatial application. This guideline applies to products in any formulation intended to be applied in space.</t>
  </si>
  <si>
    <d:r xmlns:d="http://schemas.openxmlformats.org/spreadsheetml/2006/main">
      <d:rPr>
        <d:sz val="11"/>
        <d:rFont val="Calibri"/>
      </d:rPr>
      <d:t xml:space="preserve">https://members.wto.org/crnattachments/2024/TBT/UGA/24_07535_00_e.pdf</d:t>
    </d:r>
  </si>
  <si>
    <t>AFDC 26 (3073) DTZS:2024, Fresh berry fruits — Specification</t>
  </si>
  <si>
    <t>This standard specifies the requirements, methods of sampling and test of berry fruits of species and varieties (cultivars) grown from the species listed under "1 Scope" of the document attached, to be supplied fresh to the consumer, berry fruits for industrial processing being excluded.Note: This Draft Tanzania Standard was also notified under TBT Committee.</t>
  </si>
  <si>
    <t>Preparations of vegetables, fruit, nuts or other parts of plants (HS code(s): 20); Fruits and derived products (ICS code(s): 67.080.10)</t>
  </si>
  <si>
    <t>20 - PREPARATIONS OF VEGETABLES, FRUIT, NUTS OR OTHER PARTS OF PLANTS</t>
  </si>
  <si>
    <d:r xmlns:d="http://schemas.openxmlformats.org/spreadsheetml/2006/main">
      <d:rPr>
        <d:sz val="11"/>
        <d:rFont val="Calibri"/>
      </d:rPr>
      <d:t xml:space="preserve">https://members.wto.org/crnattachments/2024/SPS/TZA/24_07507_00_e.pdf</d:t>
    </d:r>
  </si>
  <si>
    <t>AFDC 26 (3072) DTZS:2024, Fresh strawberries - SpecificationNote: This Draft Tanzania Standard was also notified under SPS committee</t>
  </si>
  <si>
    <t>This standard specifies the requirement, methods of sampling and test of strawberries of varieties (cultivars) grown from the genus Fragaria to be supplied fresh to the consumer, strawberries for industrial processing being excluded.</t>
  </si>
  <si>
    <t>Fresh strawberries (HS code(s): 081010); Fruits and derived products (ICS code(s): 67.080.10)</t>
  </si>
  <si>
    <d:r xmlns:d="http://schemas.openxmlformats.org/spreadsheetml/2006/main">
      <d:rPr>
        <d:sz val="11"/>
        <d:rFont val="Calibri"/>
      </d:rPr>
      <d:t xml:space="preserve">https://members.wto.org/crnattachments/2024/TBT/TZA/24_07518_00_e.pdf</d:t>
    </d:r>
  </si>
  <si>
    <t>PCD 643: 2024, Boflo bread — Specification,Second editionNote: This Draft Tanzania Standard was also notified under SPS committee</t>
  </si>
  <si>
    <t>This draft Zanzibar National Standard specifies the requirements and methods of sampling and test for boflo bread intended for direct human consumption</t>
  </si>
  <si>
    <d:r xmlns:d="http://schemas.openxmlformats.org/spreadsheetml/2006/main">
      <d:rPr>
        <d:sz val="11"/>
        <d:rFont val="Calibri"/>
      </d:rPr>
      <d:t xml:space="preserve">https://members.wto.org/crnattachments/2024/TBT/TZA/24_07510_00_e.pdf</d:t>
    </d:r>
  </si>
  <si>
    <t>AFDC 12 (3260) DTZS, Fruit juices, puree, pulp and nectars — Specification</t>
  </si>
  <si>
    <t>This Tanzania Standard specifies requirements, methods of sampling and test of fruit juices, puree, pulp and nectars intended for direct human consumption or for further processing. This standard also applies to the following fruit juices: a) concentrated fruit puree; b) concentrated fruit juices; c) fruit juice from concentrate; d) water extracted fruit juice; e) dehydrated fruit juice; and f) fruit juice powder.Note: This Draft Tanzania Standard was also notified under TBT Committee.</t>
  </si>
  <si>
    <t>Juice of fruit or vegetables, unfermented, whether or not containing added sugar or other sweetening matter (excl. containing spirit, mixtures, and juice of citrus fruit, pineapples, tomatoes, grapes, incl. grape must, apples and cranberries) (HS code(s): 200989); Vegetables and derived products (ICS code(s): 67.080.20)</t>
  </si>
  <si>
    <d:r xmlns:d="http://schemas.openxmlformats.org/spreadsheetml/2006/main">
      <d:rPr>
        <d:sz val="11"/>
        <d:rFont val="Calibri"/>
      </d:rPr>
      <d:t xml:space="preserve">https://members.wto.org/crnattachments/2024/SPS/TZA/24_07508_00_e.pdf</d:t>
    </d:r>
  </si>
  <si>
    <t>Draft Act amending the Act on Packaging and Packaging Waste Management and certain other acts - Projekt ustawy o zmianie ustawy o gospodarce opakowaniami i odpadami opakowaniowymi oraz niektórych innych ustaw</t>
  </si>
  <si>
    <t>Regulation that introduce the deposit-refund system in Poland was adopted in 2023 (https://isap.sejm.gov.pl/isap.nsf/DocDetails.xsp?id=wdu20130000888The ongoing draft of Act (number 760) at website of Sejm of the Republic of Poland https://sejm.gov.pl/Sejm10.nsf/druk.xsp?documentId=EE57E2A4A19DF549C1258BC7003E3A85, clarify the legal regulations on the deposit-refund system regarding the issuance, withdrawal and amendment of the permit to operate the system. The draft also includes legal regulations that establish:that deposit follows the packaging throughout the whole sales chain, the exclusion from the obligation to collect in Deposit -refund system: packaging for beverages that are milk, yogurt or other drinking dairy products, packaging covered by the system is required to display a label on such packaging with the deposit system logo (https://www.gov.pl/web/klimat/oznakowanie-opakowan-w-systemie-kaucyjnymthe obligation for shops to collect reusable glass packaging if the unit sells such beverages.the definition of the launch of the deposit system indicates a date no earlier than 1 October 2025. In connection to this, provisions have been introduced to adapt the procedure for updating permits (Article 7), the rules for calculating the level of selective collection of packaging waste in 2025 (Article 9), and time provisions regarding related obligations in this period (Article 10). This solution will extend the deadline for retail outlets to adapt their premises and change procedures for collecting packaging in stores by half a year. Entrepreneurs will benefit from the additional time to develop a method of cooperation between operators and ensure compatibility of systems.</t>
  </si>
  <si>
    <t>Deposit-Refund System, packaging, beverages, beverages in PET bottles, beverages in meal cans, beverages in reusable glass bottles, excluded beverages that are milk, yogurt or other drinking dairy products;Beverage packaging that will be covered by the Deposit-Refund system: PET bottles up to 3 liters and metal cans up to 1 liter, and reusable glass bottles up to 1.5 liters.</t>
  </si>
  <si>
    <t>13.030 - Wastes; 55.020 - Packaging and distribution of goods in general</t>
  </si>
  <si>
    <d:r xmlns:d="http://schemas.openxmlformats.org/spreadsheetml/2006/main">
      <d:rPr>
        <d:sz val="11"/>
        <d:rFont val="Calibri"/>
      </d:rPr>
      <d:t xml:space="preserve">https://members.wto.org/crnattachments/2024/TBT/POL/24_07532_00_x.pdf
https://members.wto.org/crnattachments/2024/TBT/POL/24_07532_01_x.pdf</d:t>
    </d:r>
  </si>
  <si>
    <t>Letter of the Federal Service for Veterinary and Phytosanitary Surveillance No. FS-ARe-7/6251-3 as of 31 October 2024</t>
  </si>
  <si>
    <t>This letter introduces a temporary restriction on imports of products mentioned in point 3 as well as the transit of cattle, small cattle and animals susceptible to bluetongue from Liechtenstein to the territory of the Russian Federation due to the registration of bluetongue disease outbreaks.</t>
  </si>
  <si>
    <t>Cattle; small cattle; wild, zoo and circus animals susceptible to bluetongue, camels and other members of the camel family; sperm of bulls, sheep and goat-producers; cattle and small cattle embryos; meat of wild small ruminants (HS code(s): 0102; 0104; 0106; 051199)</t>
  </si>
  <si>
    <t>0102 - Live bovine animals; 0104 - Live sheep and goats; 0106 - Live animals (excl. horses, asses, mules, hinnies, bovine animals, swine, sheep, goats, poultry, fish, crustaceans, molluscs and other aquatic invertebrates, and microorganic cultures etc.); 051199 - Products of animal origin, n.e.s., dead animals, unfit for human consumption (excl. fish, crustaceans, molluscs or other aquatic invertebrates)</t>
  </si>
  <si>
    <t>Animal health; Animal diseases; Bluetongue</t>
  </si>
  <si>
    <t>Liechtenstein</t>
  </si>
  <si>
    <d:r xmlns:d="http://schemas.openxmlformats.org/spreadsheetml/2006/main">
      <d:rPr>
        <d:sz val="11"/>
        <d:rFont val="Calibri"/>
      </d:rPr>
      <d:t xml:space="preserve">https://members.wto.org/crnattachments/2024/SPS/RUS/24_07540_00_x.pdf
https://fsvps.gov.ru/files/ukazanie-rosselhoznadzora-ot-31-oktjabrja-2024-goda-fs-arje-7-6251-3/</d:t>
    </d:r>
  </si>
  <si>
    <t>Notice of Administration Order of Saudi Food and Drug Authority Ref. No. 2819 dated 23 July 2024 entitled “Temporary ban on importation of poultry meat, eggs and their products originating from Rio Grande do Sul in Brazil”</t>
  </si>
  <si>
    <t>The Saudi Food and Drug Authority (SFDA) issued the Notice of Administration Order of Saudi Food and Drug Authority Ref. No. 2819 dated 23 July 2024 entitled "Temporary ban on importation of poultry meat, eggs and their products originating from Rio Grande do Sul in Brazil". The Saudi Food and Drug Authority (SFDA) has subsequently issued the Notice Administrative Order No. 20941 dated 31 October 2024, lifting the temporary ban on the importation of poultry meat, eggs and their products originating from Rio Grande do Sul in Brazil, based on the WOAH report dated 23 October 2024, indicating that Rio Grande do Sul in Brazil is free of Newcastle disease.</t>
  </si>
  <si>
    <t>Human health; Newcastle Disease; Animal health; Food safety; Zoonoses; Animal diseases; Withdrawal of the measure; Animal diseases; Food safety; Animal health; Human health; Newcastle Disease; Zoonoses</t>
  </si>
  <si>
    <d:r xmlns:d="http://schemas.openxmlformats.org/spreadsheetml/2006/main">
      <d:rPr>
        <d:sz val="11"/>
        <d:rFont val="Calibri"/>
      </d:rPr>
      <d:t xml:space="preserve">https://members.wto.org/crnattachments/2024/SPS/SAU/24_07546_00_x.pdf</d:t>
    </d:r>
  </si>
  <si>
    <t>AFDC 26 (3073) DTZS:2024, Fresh berry fruits — SpecificationNote: This Draft Tanzania Standard was also notified under SPS committee; </t>
  </si>
  <si>
    <t>This standard specifies the requirements, methods of sampling and test of berry fruits of species and varieties (cultivars) grown from the following species to be supplied fresh to the consumer, berry fruits for industrial processing being excluded:</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</si>
  <si>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</si>
  <si>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</si>
  <si>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d:r xmlns:d="http://schemas.openxmlformats.org/spreadsheetml/2006/main">
      <d:rPr>
        <d:sz val="11"/>
        <d:rFont val="Calibri"/>
      </d:rPr>
      <d:t xml:space="preserve">https://members.wto.org/crnattachments/2024/TBT/TZA/24_07516_00_e.pdf</d:t>
    </d:r>
  </si>
  <si>
    <t>PCD 649: 2024, Ginger and Turmeric tonic drinks— Specification, First editionNote: This Draft Tanzania Standard was also notified under SPS committee; </t>
  </si>
  <si>
    <t>This draft Zanzibar National Standard specifies requirements, sampling and test methods for ginger and turmeric tonic drinks</t>
  </si>
  <si>
    <t>Non-alcoholic beverages (excl. water, fruit or vegetable juices, milk and beer) (HS code(s): 220299); Non-alcoholic beverages (ICS code(s): 67.160.20)</t>
  </si>
  <si>
    <t>220299 - Non-alcoholic beverages (excl. water, fruit or vegetable juices, milk and beer)</t>
  </si>
  <si>
    <d:r xmlns:d="http://schemas.openxmlformats.org/spreadsheetml/2006/main">
      <d:rPr>
        <d:sz val="11"/>
        <d:rFont val="Calibri"/>
      </d:rPr>
      <d:t xml:space="preserve">https://members.wto.org/crnattachments/2024/TBT/TZA/24_07514_00_e.pdf</d:t>
    </d:r>
  </si>
  <si>
    <t>Proyecto de Resolución para regular la importación de esquejes enraizados de Cannabis sativa para propagación originarias de Estados Unidos (Draft Resolution governing the importation of rooted Cannabis sativa cuttings for propagation originating in the United States of America).</t>
  </si>
  <si>
    <t>The notified draft Resolution establishes the phytosanitary measures for the importation of rooted Cannabis sativa cuttings for propagation originating in the United States of America.</t>
  </si>
  <si>
    <t>Rooted Cannabis sativa cuttings for propagation (HS code(s): 060290)</t>
  </si>
  <si>
    <t>0602 - Live plants incl. their roots, cuttings and slips; mushroom spawn (excl. bulbs, tubers, tuberous roots, corms, crowns and rhizomes, and chicory plants and roots); 060290 - Live plants, incl. their roots, and mushroom spawn (excl. bulbs, tubers, tuberous roots, corms, crowns and rhizomes, incl. chicory plants and roots, unrooted cuttings and slips, fruit and nut trees, rhododendrons, azaleas and roses)</t>
  </si>
  <si>
    <d:r xmlns:d="http://schemas.openxmlformats.org/spreadsheetml/2006/main">
      <d:rPr>
        <d:sz val="11"/>
        <d:rFont val="Calibri"/>
      </d:rPr>
      <d:t xml:space="preserve">https://members.wto.org/crnattachments/2024/SPS/CRI/24_07541_00_s.pdf</d:t>
    </d:r>
  </si>
  <si>
    <t>PCD 646: 2024, Kimchi — Specification, First editionNote: This Draft Tanzania Standard was also notified under SPS committee; </t>
  </si>
  <si>
    <t>This draft Zanzibar National Standard specifies requirements, sampling and test methods for kimchi intended for direct human consumption.</t>
  </si>
  <si>
    <t>Fresh or chilled cabbages, kohlrabi, kale and similar edible brassicas (excl. cauliflowers, headed broccoli and Brussels sprouts) (HS code(s): 070490); Vegetables and derived products (ICS code(s): 67.080.20)</t>
  </si>
  <si>
    <t>070490 - Fresh or chilled cabbages, kohlrabi, kale and similar edible brassicas (excl. cauliflowers, headed broccoli and Brussels sprouts)</t>
  </si>
  <si>
    <d:r xmlns:d="http://schemas.openxmlformats.org/spreadsheetml/2006/main">
      <d:rPr>
        <d:sz val="11"/>
        <d:rFont val="Calibri"/>
      </d:rPr>
      <d:t xml:space="preserve">https://members.wto.org/crnattachments/2024/TBT/TZA/24_07511_00_e.pdf</d:t>
    </d:r>
  </si>
  <si>
    <t>Safety Standard for Infant Support Cushions</t>
  </si>
  <si>
    <t xml:space="preserve">The Danny Keysar Child Product Safety Notification Act, section 104 of the Consumer Product Safety Improvement Act of 2008 (CPSIA), requires the U.S. Consumer Product Safety Commission (Commission or CPSC) to promulgate consumer product safety standards for durable infant or toddler products. Under this statutory authority, the Commission is issuing a safety standard for infant support cushions. The Commission is also amending CPSC's consumer registration requirements to identify infant support cushions as durable infant or toddler products and amending CPSC's list of notices of requirements (NORs) to include infant support cushions.The rule is effective on 5 May 2025. The incorporation by reference of the publication listed in this rule is approved by the Director of the Federal Register as of 5 May 2025.89 Federal Register (FR) 87467, 4 November 2024; Title 16 Code of Federal Regulations (CFR) Parts 11121130, and 1243:_x000D_
https://www.govinfo.gov/content/pkg/FR-2024-11-04/html/2024-25181.htm_x000D_
https://www.govinfo.gov/content/pkg/FR-2024-11-04/pdf/2024-25181.pdfThis final rule and previous actions notified under the symbol G/TBT/N/USA/2091 are identified by Docket Number CPSC-2023-0047. The Docket Folder is available from Regulations.gov at https://www.regulations.gov/docket/CPSC-2023-0047/document and provides access to primary documents as well as comments received. Documents are also accessible from Regulations.gov by searching the Docket Number. </t>
  </si>
  <si>
    <t>Infant support cushions; Quality (ICS code(s): 03.120); Domestic safety (ICS code(s): 13.120); Test conditions and procedures in general (ICS code(s): 19.020); Equipment for children (ICS code(s): 97.190)</t>
  </si>
  <si>
    <t>03.120 - Quality; 13.120 - Domestic safety; 19.020 - Test conditions and procedures in general; 97.190 - Equipment for children; 03.120 - Quality; 13.120 - Domestic safety; 19.020 - Test conditions and procedures in general; 97.190 - Equipment for children</t>
  </si>
  <si>
    <d:r xmlns:d="http://schemas.openxmlformats.org/spreadsheetml/2006/main">
      <d:rPr>
        <d:sz val="11"/>
        <d:rFont val="Calibri"/>
      </d:rPr>
      <d:t xml:space="preserve">https://members.wto.org/crnattachments/2024/TBT/USA/final_measure/24_07519_00_e.pdf</d:t>
    </d:r>
  </si>
  <si>
    <t>PCD 647: 2024, Sauerkraut — Specification, First editionNote: This Draft Tanzania Standard was also notified under SPS committee; </t>
  </si>
  <si>
    <t>This draft Zanzibar National Standard specifies requirements, sampling and test methods for sauerkraut intended for human consumption.</t>
  </si>
  <si>
    <t>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 (HS code(s): 200599); Vegetables and derived products (ICS code(s): 67.080.20)</t>
  </si>
  <si>
    <t>200599 - 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t>
  </si>
  <si>
    <d:r xmlns:d="http://schemas.openxmlformats.org/spreadsheetml/2006/main">
      <d:rPr>
        <d:sz val="11"/>
        <d:rFont val="Calibri"/>
      </d:rPr>
      <d:t xml:space="preserve">https://members.wto.org/crnattachments/2024/TBT/TZA/24_07512_00_e.pdf</d:t>
    </d:r>
  </si>
  <si>
    <t xml:space="preserve">Energy Conservation Program: Test Procedures for Residential and 
Commercial Clothes Washers and Consumer Clothes Dryers&gt;</t>
  </si>
  <si>
    <t xml:space="preserve">Notice of proposed rulemaking (NOPR) and request for comment - The U.S. Department of Energy ("DOE") proposes to amend the test procedures for residential and commercial clothes washers and consumer clothes dryers to update the test cloth specifications. DOE also proposes to reorganize the test procedures for improved readability. DOE is conducting this rulemaking to address specific issues and to make minor corrections to the current test procedures. However, this rulemaking does not satisfy the statutory requirement that, at least once every 7 years, DOE review the test procedures for clothes washers and consumer clothes dryers. DOE is seeking comment from interested parties on the proposal. _x000D_
</t>
  </si>
  <si>
    <t>Residential and commercial clothes washers and consumer clothes dryers; Centrifugal clothes-dryers (HS code(s): 842112); Household or laundry-type washing machines, incl. machines which both wash and dry; parts thereof (HS code(s): 8450); Test conditions and procedures in general (ICS code(s): 19.020); Laundry appliances (ICS code(s): 97.060)</t>
  </si>
  <si>
    <t>842112 - Centrifugal clothes-dryers; 8450 - Household or laundry-type washing machines, incl. machines which both wash and dry; parts thereof</t>
  </si>
  <si>
    <t>19.020 - Test conditions and procedures in general; 97.060 - Laundry appliances</t>
  </si>
  <si>
    <d:r xmlns:d="http://schemas.openxmlformats.org/spreadsheetml/2006/main">
      <d:rPr>
        <d:sz val="11"/>
        <d:rFont val="Calibri"/>
      </d:rPr>
      <d:t xml:space="preserve">https://members.wto.org/crnattachments/2024/TBT/USA/24_07547_00_e.pdf</d:t>
    </d:r>
  </si>
  <si>
    <t>Establece y actualiza disposiciones y requisitos derivados de la ley n° 21.349, que deben cumplir fabricantes, productores, formuladores, envasadores, importadores, comercializadores y distribuidores de productos fertilizantes y bioestimulantes y deroga resolución 6725 de 2022 (Establishment and update of the provisions and requirements under Law No. 21.349 to be met by manufacturers, producers, formulators, packagers, importers, marketers and distributors of fertilizers and biostimulants, and repeal of Resolution No. 6725 of 2022); (15 pages, in Spanish)</t>
  </si>
  <si>
    <t>The notified document reviews and updates the requirements to be met by fertilizers and biostimulants in terms of their labelling and parameters to be declared. It also establishes a labelling format and provides for market adjustment periods. Moreover, it updates the labelling requirements for fertilizers and biostimulants to further implement Law. No. 21.349 on the composition, labelling and trade of these products, and its specific regulations, in order to, on the one hand, ensure that farmers receive quality products that comply with the standards indicated on their labels and, on the other hand, avoid the contamination of soil with undesirable elements. Further details can be found in the document attached to this notification.</t>
  </si>
  <si>
    <t>Fertilizers and biostimulants</t>
  </si>
  <si>
    <t>31 - FERTILISERS</t>
  </si>
  <si>
    <t>65.080 - Fertilizers</t>
  </si>
  <si>
    <d:r xmlns:d="http://schemas.openxmlformats.org/spreadsheetml/2006/main">
      <d:rPr>
        <d:sz val="11"/>
        <d:rFont val="Calibri"/>
      </d:rPr>
      <d:t xml:space="preserve">https://members.wto.org/crnattachments/2024/TBT/CHL/24_07500_00_s.pdf</d:t>
    </d:r>
  </si>
  <si>
    <t>AFDC 26 (3072) DTZS:2024, Fresh strawberries - SpecificationNote: This Draft Tanzania Standard was also notified under SPS committee; </t>
  </si>
  <si>
    <d:r xmlns:d="http://schemas.openxmlformats.org/spreadsheetml/2006/main">
      <d:rPr>
        <d:sz val="11"/>
        <d:rFont val="Calibri"/>
      </d:rPr>
      <d:t xml:space="preserve">https://members.wto.org/crnattachments/2024/TBT/TZA/24_07515_00_e.pdf</d:t>
    </d:r>
  </si>
  <si>
    <t>PCD 649: 2024, Ginger and Turmeric tonic drinks— Specification, First edition</t>
  </si>
  <si>
    <t>This draft Zanzibar National Standard specifies requirements, sampling and test methods for ginger and turmeric tonic drinks.Note: This Draft Tanzania Standard was also notified under TBT Committee.</t>
  </si>
  <si>
    <d:r xmlns:d="http://schemas.openxmlformats.org/spreadsheetml/2006/main">
      <d:rPr>
        <d:sz val="11"/>
        <d:rFont val="Calibri"/>
      </d:rPr>
      <d:t xml:space="preserve">https://members.wto.org/crnattachments/2024/SPS/TZA/24_07506_00_e.pdf</d:t>
    </d:r>
  </si>
  <si>
    <t>AFDC 26 (3072) DTZS:2024, Fresh strawberries - Specification</t>
  </si>
  <si>
    <t>This standard specifies the requirement, methods of sampling and test of strawberries of varieties (cultivars) grown from the genus Fragaria to be supplied fresh to the consumer, strawberries for industrial processing being excluded.Note: This Draft Tanzania Standard was also notified under TBT Committee.</t>
  </si>
  <si>
    <d:r xmlns:d="http://schemas.openxmlformats.org/spreadsheetml/2006/main">
      <d:rPr>
        <d:sz val="11"/>
        <d:rFont val="Calibri"/>
      </d:rPr>
      <d:t xml:space="preserve">https://members.wto.org/crnattachments/2024/SPS/TZA/24_07509_00_e.pdf</d:t>
    </d:r>
  </si>
  <si>
    <t>Letter of the Federal Service for Veterinary and Phytosanitary Supervision No. FS-ARe-7/6253-3 as of 2 November 2024</t>
  </si>
  <si>
    <t>This letter introduces a temporary restriction on imports of the goods listed below due to the outbreak of sheep pox and goat pox on the territory of Greece. This measure applies to: - live sheep and goats; - products made of sheep and goats meat; - milk and milk products; - feed of animal origin and other raw materials and products, obtained from sheep and goats slaughter; - equipment previously used for maintenance, slaughter and processing of sheep and goats.The letter also introduces a temporary restriction on transit of live sheep and goats from Greece through the territoty of the Russian Federation. </t>
  </si>
  <si>
    <t>Live sheep and goats; products made of sheep and goats meat; milk and milk products; feed of animal origin and other raw materials and products obtained from sheep and goats slaughter; equipment previously used for maintenance, slaughter and processing of sheep and goats (HS code(s): 0104; 0204; 0401; 2309)</t>
  </si>
  <si>
    <t>0104 - Live sheep and goats; 0204 - Meat of sheep or goats, fresh, chilled or frozen; 0401 - Milk and cream, not concentrated nor containing added sugar or other sweetening matter; 2309 - Preparations of a kind used in animal feeding</t>
  </si>
  <si>
    <t>Greece</t>
  </si>
  <si>
    <d:r xmlns:d="http://schemas.openxmlformats.org/spreadsheetml/2006/main">
      <d:rPr>
        <d:sz val="11"/>
        <d:rFont val="Calibri"/>
      </d:rPr>
      <d:t xml:space="preserve">https://members.wto.org/crnattachments/2024/SPS/RUS/24_07533_00_x.pdf
https://fsvps.gov.ru/files/ukazanie-rosselhoznadzora-ot-2-nojabrja-2024-goda-fs-arje-7-6253-3/</d:t>
    </d:r>
  </si>
  <si>
    <t> Revision of the Specifications and Standards for Foods, Food Additives, Etc. Under the Food Sanitation Act</t>
  </si>
  <si>
    <t>Establishment of the specifications and standards for Rubber and Amino Acid-Sugar Reaction Product, and revision of the specifications and standards for Cyclodextrin.</t>
  </si>
  <si>
    <t>Food additives (Rubber, Amino Acid-Sugar Reaction Product and Cyclodextrin)</t>
  </si>
  <si>
    <d:r xmlns:d="http://schemas.openxmlformats.org/spreadsheetml/2006/main">
      <d:rPr>
        <d:sz val="11"/>
        <d:rFont val="Calibri"/>
      </d:rPr>
      <d:t xml:space="preserve">https://members.wto.org/crnattachments/2024/SPS/JPN/24_07528_00_e.pdf</d:t>
    </d:r>
  </si>
  <si>
    <t>National Standard of the P.R.C., Feed additives—Part 8：Preservatives,mildew preventives and acidity regulators—Benzoic acid</t>
  </si>
  <si>
    <t xml:space="preserve">This document specifies the technical requirements, sampling, inspection rules, labeling, packaging, transportation, storage, and shelf life of feed additive benzoic acid, and describes the testing methods._x000D_
This document applies to the feed additive benzoic acid directly obtained from petroleum toluene through catalytic oxidation, refining and purification, or the feed additive benzoic acid obtained from industrial grade benzoic acid obtained from petroleum toluene through catalytic oxidation and further refining.</t>
  </si>
  <si>
    <t>Feed additive—benzoic acid (HS code(s): 230990); (ICS code(s): 65.120)</t>
  </si>
  <si>
    <t>Protection of animal or plant life or health (TBT); Quality requirements (TBT)</t>
  </si>
  <si>
    <d:r xmlns:d="http://schemas.openxmlformats.org/spreadsheetml/2006/main">
      <d:rPr>
        <d:sz val="11"/>
        <d:rFont val="Calibri"/>
      </d:rPr>
      <d:t xml:space="preserve">https://members.wto.org/crnattachments/2024/TBT/CHN/24_07482_00_x.pdf</d:t>
    </d:r>
  </si>
  <si>
    <t>National Standard of the P.R.C., General safety technical requirements for oral care products</t>
  </si>
  <si>
    <t xml:space="preserve">This document specifies terms and definitions, requirements, test methods, inspection rules, decision rules, marking, transportation and storage of oral care and cleansing products._x000D_
This document applies to oral care and cleansing products, including toothpaste, tooth powder, oral rinses, tooth strips, tooth whitening gel, denture cleanser and other daily products used for human teeth, oral mucosa or denture.</t>
  </si>
  <si>
    <t>Toothpaste, dentifrice, oral rinses, tooth strips, tooth whitening gel, denture cleanser (HS code(s): 3306); (ICS code(s): 71.100.40)</t>
  </si>
  <si>
    <t>3306 - Preparations for oral or dental hygiene, incl. denture fixative pastes and powders; yarn used to clean between the teeth "dental floss", in individual retail packages</t>
  </si>
  <si>
    <d:r xmlns:d="http://schemas.openxmlformats.org/spreadsheetml/2006/main">
      <d:rPr>
        <d:sz val="11"/>
        <d:rFont val="Calibri"/>
      </d:rPr>
      <d:t xml:space="preserve">https://members.wto.org/crnattachments/2024/TBT/CHN/24_07480_00_x.pdf</d:t>
    </d:r>
  </si>
  <si>
    <t>National Standard of the P.R.C., Feed additives—Part 3: Minerals and their complexes （or chelates）—Zinc threoninate chelate</t>
  </si>
  <si>
    <t xml:space="preserve">This document specifies the chemical name, molecular formula, relative molecular weight and structural formula of Zinc threoninate chelate, specifies the technical requirements, inspection rules, labeling, packaging, transportation, storage and shelf life of feed additive Zinc threoninate chelate, and describes the sampling and test methods._x000D_
This document applies to feed additive Zinc threoninate chelate products which are produced by chemical reaction with threonine and Zinc oxide as raw materials.</t>
  </si>
  <si>
    <t>Zinc threoninate chelate (HS code(s): 23); (ICS code(s): 65.120)</t>
  </si>
  <si>
    <t>23 - RESIDUES AND WASTE FROM THE FOOD INDUSTRIES; PREPARED ANIMAL FODDER</t>
  </si>
  <si>
    <t>Prevention of deceptive practices and consumer protection (TBT); Protection of human health or safety (TBT); Protection of animal or plant life or health (TBT); Quality requirements (TBT)</t>
  </si>
  <si>
    <d:r xmlns:d="http://schemas.openxmlformats.org/spreadsheetml/2006/main">
      <d:rPr>
        <d:sz val="11"/>
        <d:rFont val="Calibri"/>
      </d:rPr>
      <d:t xml:space="preserve">https://members.wto.org/crnattachments/2024/TBT/CHN/24_07484_00_x.pdf</d:t>
    </d:r>
  </si>
  <si>
    <t>PCD 643: 2024, Boflo bread — Specification, Second edition</t>
  </si>
  <si>
    <t>This draft Zanzibar National Standard specifies the requirements and methods of sampling and test for boflo bread intended for direct human consumption.Note: This Draft Tanzania Standard was also notified under TBT Committee.</t>
  </si>
  <si>
    <d:r xmlns:d="http://schemas.openxmlformats.org/spreadsheetml/2006/main">
      <d:rPr>
        <d:sz val="11"/>
        <d:rFont val="Calibri"/>
      </d:rPr>
      <d:t xml:space="preserve">https://members.wto.org/crnattachments/2024/SPS/TZA/24_07501_00_e.pdf</d:t>
    </d:r>
  </si>
  <si>
    <t>Draft resolution 1274, 22 August 2024</t>
  </si>
  <si>
    <t>Draft resolution 1274, 22 August 2024 - previously notified through G/TBT/N/BRA/1562 - which establishes health warnings and messages to be used on displays and displays of smoking products derived from tobacco, was adopted as Normative Instruction 331, 30 October 2024The final text is available only in Portuguese and can be downloaded at: https://antigo.anvisa.gov.br/documents/10181/6852095/IN_331_2024_.pdf/c4b07392-1658-4aba-ada5-b8113bc5b97a</t>
  </si>
  <si>
    <t>TOBACCO AND MANUFACTURED TOBACCO SUBSTITUTES; PRODUCTS, WHETHER OR NOT CONTAINING NICOTINE, INTENDED FOR INHALATION WITHOUT COMBUSTION; OTHER NICOTINE CONTAINING PRODUCTS INTENDED FOR THE INTAKE OF NICOTINE INTO THE HUMAN BODY (HS code(s): 24)</t>
  </si>
  <si>
    <t>24 - TOBACCO AND MANUFACTURED TOBACCO SUBSTITUTES; PRODUCTS, WHETHER OR NOT CONTAINING NICOTINE, INTENDED FOR INHALATION WITHOUT COMBUSTION; OTHER NICOTINE CONTAINING PRODUCTS INTENDED FOR THE INTAKE OF NICOTINE INTO THE HUMAN BODY; 24 - TOBACCO AND MANUFACTURED TOBACCO SUBSTITUTES; PRODUCTS, WHETHER OR NOT CONTAINING NICOTINE, INTENDED FOR INHALATION WITHOUT COMBUSTION; OTHER NICOTINE CONTAINING PRODUCTS INTENDED FOR THE INTAKE OF NICOTINE INTO THE HUMAN BODY</t>
  </si>
  <si>
    <t>The Draft Identification of Priority Products Report to the Legislature identifies draft priority consumer products for Cycle 2 Phase 2 of Safer Products for Washington. The Draft Technical Supporting Documentation for Priority Products Cycle 2 Phase 2 is also published and available for public comment.How to submit commentsThis public comment period opens 1 November 2024 at 12 a.m.and closes 16 December 2024 at 11:59 p.m.Pacific TimeWTO Members and their stakeholders are asked to submit comments to the USA TBT Enquiry Point. Comments received by the USA TBT Enquiry Point from WTO Members and their stakeholders by 4pm Eastern Time on 16 December 2024 will be shared with State of Washington Department of Ecology.When the public comment period ends, we will consider all comments and may change the report based on them. The final report will be published by 1 June 2025.Please refer to G/TBT/N/USA/1958/Add.3 regarding informational webinars to be held 14 November 2024.Translated content is accessible at https://ecology.wa.gov/events/hwtr/spwa-cycle-2/safer-products-draft-report-public-comment, bottom of page; includes Spanish, Chinese, Vietnamese, and Korean.  Washington’s DEC offers free language services about their programs and services for people whose primary language is not English. They can provide written information in a preferred language and interpreters in person or over the telephone.Contact the Language Access team: civilrights@ecy.wa.govServicios de Idiomas語言服務통역/번역 서비스Dịch vụ thông dịch</t>
  </si>
  <si>
    <d:r xmlns:d="http://schemas.openxmlformats.org/spreadsheetml/2006/main">
      <d:rPr>
        <d:sz val="11"/>
        <d:rFont val="Calibri"/>
      </d:rPr>
      <d:t xml:space="preserve">https://members.wto.org/crnattachments/2024/TBT/USA/modification/24_07495_00_e.pdf
https://members.wto.org/crnattachments/2024/TBT/USA/modification/24_07495_01_e.pdf
https://ecology.wa.gov//events/hwtr/spwa-cycle-2/safer-products-draft-report-public-comment
</d:t>
    </d:r>
  </si>
  <si>
    <t>National Standard of the P.R.C.,  Feed additives—Part 3: Minerals and their complexes （or chelates）—Zinc glycinate</t>
  </si>
  <si>
    <t xml:space="preserve">This document specifies the chemical name, molecular formula and relative molecular weight of zinc glycinate, specifies the technical requirements, inspection rules, labeling, packaging, transportation, storage and shelf life of feed additive zinc glycinate, and describes the sampling and test methods._x000D_
This document applies to feed additive zinc glycine products which are produced by chemical reaction with glycine and zinc sulfate as raw materials.</t>
  </si>
  <si>
    <t>Zinc glycinate (HS code(s): 230990); (ICS code(s): 65.120)</t>
  </si>
  <si>
    <t>Prevention of deceptive practices and consumer protection (TBT); Protection of animal or plant life or health (TBT); Quality requirements (TBT)</t>
  </si>
  <si>
    <d:r xmlns:d="http://schemas.openxmlformats.org/spreadsheetml/2006/main">
      <d:rPr>
        <d:sz val="11"/>
        <d:rFont val="Calibri"/>
      </d:rPr>
      <d:t xml:space="preserve">https://members.wto.org/crnattachments/2024/TBT/CHN/24_07483_00_x.pdf</d:t>
    </d:r>
  </si>
  <si>
    <t>National Standard of the P.R.C., Agricultural machinery — Safety — Part 1: General requirements</t>
  </si>
  <si>
    <t xml:space="preserve">This document specifies the safety requirements and the means of their verification for the design and construction of self-propelled ride-on machines, mounted, semi-mounted and trailed machines used in agriculture in order to deal with the hazards which are typical for most of the machines. In addition, it specifies the type of information on safe working practices including information about residual risks to be provided by the manufacturer._x000D_
This document applies to significant hazards, hazardous situations and events, relevant to normal operation and maintenance of agricultural machinery when used as intended and under the conditions of misuse foreseeable by the manufacturer.</t>
  </si>
  <si>
    <t>Agricultural machinery (HS code(s): 843680); (ICS code(s): 65.060.01)</t>
  </si>
  <si>
    <t>843680 - Agricultural, horticultural, forestry or bee-keeping machinery, n.e.s.</t>
  </si>
  <si>
    <t>65.060.01 - Agricultural machines and equipment in general</t>
  </si>
  <si>
    <d:r xmlns:d="http://schemas.openxmlformats.org/spreadsheetml/2006/main">
      <d:rPr>
        <d:sz val="11"/>
        <d:rFont val="Calibri"/>
      </d:rPr>
      <d:t xml:space="preserve">https://members.wto.org/crnattachments/2024/TBT/CHN/24_07481_00_x.pdf</d:t>
    </d:r>
  </si>
  <si>
    <t>National Standard of the P.R.C., Hygienic requirements for the bulk transportation  of  edible vegetable oils</t>
  </si>
  <si>
    <t xml:space="preserve">This document specifies the terminology for bulk transportation of edible vegetable oils, sets out the basic requirements and requirements of cleaning, maintenance, management, transportation operation and record for bulk transportation containers, ._x000D_
This document applies to the bulk transportation of edible vegetable oils, including edible vegetable blended oils and vegetable crude oils used as raw materials for edible vegetable oils.</t>
  </si>
  <si>
    <t>Edible vegetable oils, blended edible vegetable oils, crude vegetable oils (HS code(s): 1522); (ICS code(s): 67.200.10)</t>
  </si>
  <si>
    <t>1522 - Degras; residues resulting from the treatment of fatty substances or animal or vegetable waxes.</t>
  </si>
  <si>
    <d:r xmlns:d="http://schemas.openxmlformats.org/spreadsheetml/2006/main">
      <d:rPr>
        <d:sz val="11"/>
        <d:rFont val="Calibri"/>
      </d:rPr>
      <d:t xml:space="preserve">https://members.wto.org/crnattachments/2024/TBT/CHN/24_07485_00_x.pdf</d:t>
    </d:r>
  </si>
  <si>
    <t>National Standard of the P.R.C., Fire fighting vehicles—Part 12: Aerial fire fighting vehicle</t>
  </si>
  <si>
    <t xml:space="preserve">This document specifies the terms and definitions of aerial fire fighting vehicles , specifies their classification and models, technical requirements, inspection rules, packaging, transportation, and storage, and describes the corresponding test methods._x000D_
This document apples to the design, manufacturing, and inspection of all kinds of aerial fire fighting vehicles.</t>
  </si>
  <si>
    <t>Aerial fire fighting vehicle (HS code(s): 870530); (ICS code(s): 13.220.10)</t>
  </si>
  <si>
    <t>870530 - Fire fighting vehicles (excl. vehicles for transporting persons)</t>
  </si>
  <si>
    <t>13.220.10 - Fire-fighting</t>
  </si>
  <si>
    <d:r xmlns:d="http://schemas.openxmlformats.org/spreadsheetml/2006/main">
      <d:rPr>
        <d:sz val="11"/>
        <d:rFont val="Calibri"/>
      </d:rPr>
      <d:t xml:space="preserve">https://members.wto.org/crnattachments/2024/TBT/CHN/24_07478_00_x.pdf</d:t>
    </d:r>
  </si>
  <si>
    <t>PCD 646: 2024, Kimchi — Specification, First edition</t>
  </si>
  <si>
    <t>This draft Zanzibar National Standard specifies requirements, sampling and test methods for kimchi intended for direct human consumption.Note: This Draft Tanzania Standard was also notified under TBT Committee.</t>
  </si>
  <si>
    <d:r xmlns:d="http://schemas.openxmlformats.org/spreadsheetml/2006/main">
      <d:rPr>
        <d:sz val="11"/>
        <d:rFont val="Calibri"/>
      </d:rPr>
      <d:t xml:space="preserve">https://members.wto.org/crnattachments/2024/SPS/TZA/24_07502_00_e.pdf</d:t>
    </d:r>
  </si>
  <si>
    <t>Government Regulation No. 28 of 2024 on Implementation of Law No. 17 of 2023 regarding Health</t>
  </si>
  <si>
    <t>Government Regulation No. 28 of 2024 is an implementing regulation of Law No. 17 of 2023 that provides further provisions, affirmations, and explanations of regulations regarding the following matters: 1) implementation of health measures; 2) management of medical personnel and health workers; 3) health care facilities; 4) pharmaceuticals, medical devices, and health supplies; 5) health information systems; 5) implementation of health technology; 6) management of extraordinary events and outbreaks; 7) health funding; 8) community participation; and 9) guidance and supervision. The eighth section of this GR regulates the management of non-communicable diseases (Articles 190-204), including the control of sugar, salt, and fat consumption in processed foods, including fast food. The provisions regarding the content of sugar, salt, and fat include:The determination of maximum content limits for sugar, salt, and fat will be further coordinated by considering risk assessment and/or international standards. Every person who produces, imports, or distributes processed food, including fast food, shall comply with the maximum content limits of sugar, salt, and fat and include the relevant nutrition labels on processed food packaging or information media for fast food. Business actors that do not comply with the content limits are prohibited from advertising, promotion, and sponsorship at certain times, locations, or to certain target groups, and are prohibited from distributing in certain areas. The use of ingredients that are at risk of causing non-communicable diseases in processed food production is also restricted or prohibited. Administrative consequences for violations of the sugar, salt, and fat content limits in processed food could be subject to business actors in the form of written warnings, administrative charges, temporary suspension of production or distribution activities, withdrawal of products from circulation, and revocation of business licenses.</t>
  </si>
  <si>
    <t>Processed Food</t>
  </si>
  <si>
    <d:r xmlns:d="http://schemas.openxmlformats.org/spreadsheetml/2006/main">
      <d:rPr>
        <d:sz val="11"/>
        <d:rFont val="Calibri"/>
      </d:rPr>
      <d:t xml:space="preserve">https://members.wto.org/crnattachments/2024/TBT/IDN/24_07496_00_x.pdf</d:t>
    </d:r>
  </si>
  <si>
    <t>PCD 643: 2024, Food grade citric acid— specification, First edition</t>
  </si>
  <si>
    <t>This draft Zanzibar national standard specifies requirements, method of sampling and test for food grade citric acid.Note: This Draft Tanzania Standard was also notified under TBT  Committee.</t>
  </si>
  <si>
    <t>Carboxylic acids with aldehyde or ketone function but without other oxygen function, their anhydrides, halides, peroxides, peroxyacids and their halogenated, sulphonated, nitrated or nitrosated derivatives (HS code(s): 291830); General methods of tests and analysis for food products (ICS code(s): 67.050)</t>
  </si>
  <si>
    <t>67.050 - General methods of tests and analysis for food products</t>
  </si>
  <si>
    <d:r xmlns:d="http://schemas.openxmlformats.org/spreadsheetml/2006/main">
      <d:rPr>
        <d:sz val="11"/>
        <d:rFont val="Calibri"/>
      </d:rPr>
      <d:t xml:space="preserve">https://members.wto.org/crnattachments/2024/SPS/TZA/24_07505_00_e.pdf</d:t>
    </d:r>
  </si>
  <si>
    <t>Draft resolution 1273, 22 August 2024</t>
  </si>
  <si>
    <t>Draft resolution 1273, 22 August 2024 - previously notified through G/TBT/N/BRA/1563 - which establishes health warnings and messages to be used on the packaging of smoking products derived from tobacco, was adopted as Normative Instruction 332, 30 October 2024The final text is available only in Portuguese and can be downloaded at: https://antigo.anvisa.gov.br/documents/10181/6852031/IN_332_2024_.pdf/750b4a81-07c8-4e06-937f-6d71d0a7e522</t>
  </si>
  <si>
    <t>TOBACCO AND MANUFACTURED TOBACCO SUBSTITUTES (HS code(s): 24)</t>
  </si>
  <si>
    <t>PCD 647: 2024, Sauerkraut — Specification, First edition</t>
  </si>
  <si>
    <t>This draft Zanzibar National Standard specifies requirements, sampling and test methods for sauerkraut intended for human consumption.Note: This Draft Tanzania Standard was also notified under TBT Committee.</t>
  </si>
  <si>
    <t>Vegetables and mixtures of vegetables, prepared or preserved otherwise than by vinegar, non-frozen (excl. preserved by sugar, homogenised vegetables of subheading 2005.10, and tomatoes, mushrooms, truffles, potatoes, peas "Pisum sativum", beans "VignaPhaseolus", asparagus, olives, sweetcorn "Zea Mays var. Saccharata" and bamboo shoots, unmixed) (HS code(s): 200599); Vegetables and derived products (ICS code(s): 67.080.20)</t>
  </si>
  <si>
    <d:r xmlns:d="http://schemas.openxmlformats.org/spreadsheetml/2006/main">
      <d:rPr>
        <d:sz val="11"/>
        <d:rFont val="Calibri"/>
      </d:rPr>
      <d:t xml:space="preserve">https://members.wto.org/crnattachments/2024/SPS/TZA/24_07504_00_e.pdf</d:t>
    </d:r>
  </si>
  <si>
    <t>Draft Resolution 1289, 31 October 2024</t>
  </si>
  <si>
    <t>This draft resolution establishes the maximum tolerated limits (LMT) of contaminants in food.</t>
  </si>
  <si>
    <t>Human health; Food safety; Maximum residue limits (MRLs); Contaminants</t>
  </si>
  <si>
    <d:r xmlns:d="http://schemas.openxmlformats.org/spreadsheetml/2006/main">
      <d:rPr>
        <d:sz val="11"/>
        <d:rFont val="Calibri"/>
      </d:rPr>
      <d:t xml:space="preserve">https://members.wto.org/crnattachments/2024/SPS/BRA/24_07492_00_x.pdf
Draft: https://antigo.anvisa.gov.br/documents/10181/6902037/CONSULTA+PUBLICA+N%C2%BA+1289+COPAR.pdf/2ee0d358-14c1-4cf2-a9c1-983f3664bd6c
Comment form: http://pesquisa.anvisa.gov.br/index.php/283195?lang=pt-BR</d:t>
    </d:r>
  </si>
  <si>
    <t>National Standard of the P.R.C., Indoor stationary training equipment—Safety requirements</t>
  </si>
  <si>
    <t xml:space="preserve">This document specifies the terms and definitions, classification, technical requirements, requirements for marking and instructions, and describes testing methods for indoor stationary training equipment. _x000D_
This document applies to indoor stationary training equipment for individuals aged 14 and above in indoor environment.</t>
  </si>
  <si>
    <t>Indoor stationary training equipment for individuals aged 14 and above in indoor environment (HS code(s): 9506); (ICS code(s): 97.220.30)</t>
  </si>
  <si>
    <t>9506 - Articles and equipment for general physical exercise, gymnastics, athletics, other sports, incl. table-tennis, or outdoor games, not specified or included in this chapter or elsewhere; swimming pools and paddling pools.</t>
  </si>
  <si>
    <t>97.220.30 - Indoor sports equipment</t>
  </si>
  <si>
    <d:r xmlns:d="http://schemas.openxmlformats.org/spreadsheetml/2006/main">
      <d:rPr>
        <d:sz val="11"/>
        <d:rFont val="Calibri"/>
      </d:rPr>
      <d:t xml:space="preserve">https://members.wto.org/crnattachments/2024/TBT/CHN/24_07479_00_x.pdf</d:t>
    </d:r>
  </si>
  <si>
    <t>AFDC 26 (3074) DTZS:2024, Fresh watermelon - Specification</t>
  </si>
  <si>
    <t>This standard specifies the requirements, methods of sampling and test of watermelons of varieties (cultivars) grown from Citrullus lanatus to be supplied fresh to the consumer, watermelons for industrial processing being excluded.Note: This Draft Tanzania Standard was also notified under TBT Committee.</t>
  </si>
  <si>
    <t>Fresh watermelons (HS code(s): 080711); Fruits and derived products (ICS code(s): 67.080.10)</t>
  </si>
  <si>
    <t>080711 - Fresh watermelons</t>
  </si>
  <si>
    <d:r xmlns:d="http://schemas.openxmlformats.org/spreadsheetml/2006/main">
      <d:rPr>
        <d:sz val="11"/>
        <d:rFont val="Calibri"/>
      </d:rPr>
      <d:t xml:space="preserve">https://members.wto.org/crnattachments/2024/SPS/TZA/24_07466_00_e.pdf</d:t>
    </d:r>
  </si>
  <si>
    <t>National Standard of the P.R.C., Fire fighting vehicle—Part 1：General technical specifications</t>
  </si>
  <si>
    <t xml:space="preserve">This document specifies the terms and definitions, classification and models, general technical requirements of fire fighting vehicles, and describes the corresponding testing methods of fire fighting vehicles._x000D_
This document applies to various fire fighting vehicles.</t>
  </si>
  <si>
    <t>fire fighting vehicle (HS code(s): 870530); (ICS code(s): 13.220.10)</t>
  </si>
  <si>
    <d:r xmlns:d="http://schemas.openxmlformats.org/spreadsheetml/2006/main">
      <d:rPr>
        <d:sz val="11"/>
        <d:rFont val="Calibri"/>
      </d:rPr>
      <d:t xml:space="preserve">https://members.wto.org/crnattachments/2024/TBT/CHN/24_07477_00_x.pdf</d:t>
    </d:r>
  </si>
  <si>
    <t>AFDC 26 (3205) DTZS:2024, Fresh annonas — Specification</t>
  </si>
  <si>
    <t>This standard specifies the requirements, methods of sampling and test of the following fruits classified as "Annonas" to be supplied fresh to the consumer, annonas for industrial processing being excluded: a) Cherimoya of varieties (cultivars) grown from the species Annona cherimola Mill.; b) Sugar apple of varieties (cultivars) grown from the species Annona squamosa L.; c) Atemoya hybrid from the species Annona cherimola Mill. and Annona squamosa L.; d) Soursop of varieties (cultivars) grown from the species Annona muricata L.Note: This Tanzania Standard was also notified under TBT Committee</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</si>
  <si>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 Fresh annonas</t>
  </si>
  <si>
    <d:r xmlns:d="http://schemas.openxmlformats.org/spreadsheetml/2006/main">
      <d:rPr>
        <d:sz val="11"/>
        <d:rFont val="Calibri"/>
      </d:rPr>
      <d:t xml:space="preserve">https://members.wto.org/crnattachments/2024/SPS/TZA/24_07468_00_e.pdf</d:t>
    </d:r>
  </si>
  <si>
    <t>National Standard of the P.R.C., Earth-moving machinery—Noise limits</t>
  </si>
  <si>
    <t xml:space="preserve">This document specifies the limits for external emission noise and the noise limits of operator’s position of earth-moving machinery._x000D_
This document applies to earth-moving machinery as defined in GB/T 8498 powered by internal combustion engines, including horizontal directional drilling machine and forklift wheel loader. Other derived earth-moving machinery can be referenced for execution.</t>
  </si>
  <si>
    <t>earth-moving machinery (HS code(s): 842649; 842890; 8429; 843041; 843050; 84306; 870410; 870422; 870423); (ICS code(s): 53.100)</t>
  </si>
  <si>
    <t>842649 - Mobile cranes and works trucks fitted with a crane, self-propelled (excl. those on tyres and straddle carriers); 842890 - Machinery for lifting, handling, loading or unloading, n.e.s.; 8429 - Self-propelled bulldozers, angledozers, graders, levellers, scrapers, mechanical shovels, excavators, shovel loaders, tamping machines and roadrollers; 843041 - Self-propelled boring or sinking machinery for boring earth or extracting minerals or ores (excl. those mounted on railway or tramway wagons, motor vehicle chassis or lorries and tunnelling machinery); 843050 - Self-propelled earth-moving machinery, n.e.s.; 84306 - - Other machinery, not self-propelled:; 870410 - Dumpers for off-highway use; 870422 - Motor vehicles for the transport of goods, with only compression-ignition internal combustion piston engine "diesel or semi-diesel", of a gross vehicle weight &gt; 5 t but &lt;= 20 t (excl. dumpers for off-highway use of subheading 8704.10 and special purpose motor vehicles of heading 8705); 870423 - Motor vehicles for the transport of goods, with only compression-ignition internal combustion piston engine "diesel or semi-diesel", of a gross vehicle weight &gt; 20 t (excl. dumpers for off-highway use of subheading 8704.10 and special purpose motor vehicles of heading 8705)</t>
  </si>
  <si>
    <t>53.100 - Earth-moving machinery</t>
  </si>
  <si>
    <d:r xmlns:d="http://schemas.openxmlformats.org/spreadsheetml/2006/main">
      <d:rPr>
        <d:sz val="11"/>
        <d:rFont val="Calibri"/>
      </d:rPr>
      <d:t xml:space="preserve">https://members.wto.org/crnattachments/2024/TBT/CHN/24_07476_00_x.pdf
https://members.wto.org/crnattachments/2024/TBT/CHN/24_07476_01_x.pdf</d:t>
    </d:r>
  </si>
  <si>
    <t>Regulation on Energy Efficiency Management Equipment </t>
  </si>
  <si>
    <t>Electrical appliances</t>
  </si>
  <si>
    <d:r xmlns:d="http://schemas.openxmlformats.org/spreadsheetml/2006/main">
      <d:rPr>
        <d:sz val="11"/>
        <d:rFont val="Calibri"/>
      </d:rPr>
      <d:t xml:space="preserve">https://members.wto.org/crnattachments/2024/TBT/KOR/final_measure/24_07475_00_x.pdf</d:t>
    </d:r>
  </si>
  <si>
    <t>AFDC 26 (3063) DTZS:2024, Fresh dandelion greens — Specification Note: This Draft Tanzania Standard was also notified under SPS committee</t>
  </si>
  <si>
    <t>This standard specifies the requirements, methods of sampling and test of dandelion greens consisting of either plants or cut leaves of varieties (cultivars) grown from Taraxacum officinale F.H. Wigg. to be supplied fresh to the consumer; dandelion greens for industrial processing being excluded.</t>
  </si>
  <si>
    <t>Vegetable saps and extracts (excl. liquorice, hops, opium and ephedra) (HS code(s): 130219); Fruits, vegetables and derived products in general (ICS code(s): 67.080.01),Fresh dandelion greens.</t>
  </si>
  <si>
    <t>130219 - Vegetable saps and extracts (excl. liquorice, hops, opium and ephedra)</t>
  </si>
  <si>
    <d:r xmlns:d="http://schemas.openxmlformats.org/spreadsheetml/2006/main">
      <d:rPr>
        <d:sz val="11"/>
        <d:rFont val="Calibri"/>
      </d:rPr>
      <d:t xml:space="preserve">https://members.wto.org/crnattachments/2024/TBT/TZA/24_07469_00_e.pdf</d:t>
    </d:r>
  </si>
  <si>
    <t>AFDC 26 (3065) DTZS:2024, Fresh rhubarb – Specification</t>
  </si>
  <si>
    <t>This standard specifies the requirements, methods of sampling and test of leaf stalks of rhubarb of varieties (cultivars) grown from Rheum rhabarbarum L. to be supplied fresh to the consumer, rhubarb for industrial processing being excluded.Note: This Draft Tanzania Standard was also notified under TBT Committee.</t>
  </si>
  <si>
    <t>Fresh or chilled vegetables n.e.s. (HS code(s): 070999); Fruits, vegetables and derived products in general (ICS code(s): 67.080.01); Fresh rhubarb</t>
  </si>
  <si>
    <d:r xmlns:d="http://schemas.openxmlformats.org/spreadsheetml/2006/main">
      <d:rPr>
        <d:sz val="11"/>
        <d:rFont val="Calibri"/>
      </d:rPr>
      <d:t xml:space="preserve">https://members.wto.org/crnattachments/2024/SPS/TZA/24_07464_00_e.pdf</d:t>
    </d:r>
  </si>
  <si>
    <t>Draft Resolution of the Cabinet of Ministers of Ukraine "On Amendments to the Procedure of inspection, survey, phytosanitary examination, supervision, monitoring, disinfection of regulated objects, issuance of certificates in accordance with the Law of Ukraine "On Plant Quarantine", control of inspections in terms of sampling and selective control over the conduct of phytosanitary examination"</t>
  </si>
  <si>
    <t>Ukraine notifies the adoption of the Resolution of the Cabinet of Ministers of Ukraine No. 1229 "On Amendments to the Procedure of inspection, survey, phytosanitary examination, supervision, monitoring, disinfection of regulated objects, issuance of certificates in accordance with the Law of Ukraine "On Plant Quarantine", control of inspections in terms of sampling and selective control over the conduct of phytosanitary examination" of 25 October 2024.The Resolution was published on 1 November 2024 and will enter into force on 1 February 2025.</t>
  </si>
  <si>
    <t>Plants and plant products</t>
  </si>
  <si>
    <d:r xmlns:d="http://schemas.openxmlformats.org/spreadsheetml/2006/main">
      <d:rPr>
        <d:sz val="11"/>
        <d:rFont val="Calibri"/>
      </d:rPr>
      <d:t xml:space="preserve">https://members.wto.org/crnattachments/2024/SPS/UKR/24_07491_00_x.pdf
https://zakon.rada.gov.ua/laws/show/1229-2024-%D0%BF#Text</d:t>
    </d:r>
  </si>
  <si>
    <t>AFDC 26 (3069) DTZS:2024, Leafy vegetables – Specification</t>
  </si>
  <si>
    <t>This standard specifies requirements, methods of sampling and test of leafy vegetables to be supplied fresh to the consumers; leafy vegetables for industrial processing being excluded. The following is the representative list of the common leafy vegetable varieties: a) Night shade (Solanum vilosum/ nigrum) - Mnavu/ mnafu; b) Ethiopian Mustard (Brassica carinata) - Figiri/Loshuu/saro; c) Collard greens (Brassica oleracea var. viridis) - Sukuma wiki; d) Kale (Brassica oleracea L. var. sabellica) - sukuma wiki; e) Swiss chard (Beta vulgaris forma cicla) – Chards; f) Amaranth- (Amaranthus spp.) – Mchicha; g) Sweet potato leaves (Ipomea batata) – Matembele; h) Cassava leaves (Manihot esculentum) – Kisamvu; i) Pumpkin leaves (Cucurbit pepo) - Majani ya maboga; j) Jute Mallow (Corchorus spp.) – Mlenda; k) Spider Plant (Gynandropsis gynandra) – Mgagani; l) Cowpea leaves (Vigna unguiculata) - Majani ya kunde; m) Chinese cabbage (Brassica chinensis) – Chainizi; n) Blackjack (Biddens pilosaB. biternata) - Shona nguo/nata nata; o) Lamb's quarter (Chenopodium album L.) - Muosha fedha; p) Tackweed (Tribulus terrestris) – Mbigili; q) African spinach (Basella alba L.) - Mlelema.Note: This Draft Tanzania Standard was also notified under TBT Committee.</t>
  </si>
  <si>
    <t>Fresh or chilled fruits of the genus Capsicum or Pimenta (HS code(s): 070960); Fruits, vegetables and derived products in general (ICS code(s): 67.080.01); Leafy vegetables</t>
  </si>
  <si>
    <t>070960 - Fresh or chilled fruits of the genus Capsicum or Pimenta</t>
  </si>
  <si>
    <d:r xmlns:d="http://schemas.openxmlformats.org/spreadsheetml/2006/main">
      <d:rPr>
        <d:sz val="11"/>
        <d:rFont val="Calibri"/>
      </d:rPr>
      <d:t xml:space="preserve">https://members.wto.org/crnattachments/2024/SPS/TZA/24_07465_00_e.pdf</d:t>
    </d:r>
  </si>
  <si>
    <t>AFDC 26 (3065) DTZS:2024, Fresh rhubarb – SpecificationNote: This Draft Tanzania Standard was also notified under SPS committee</t>
  </si>
  <si>
    <t>This standard specifies the requirements, methods of sampling and test of leaf stalks of rhubarb of varieties (cultivars) grown from Rheum rhabarbarum L. to be supplied fresh to the consumer, rhubarb for industrial processing being excluded.</t>
  </si>
  <si>
    <t>Fresh or chilled vegetables n.e.s. (HS code(s): 070999); Fruits, vegetables and derived products in general (ICS code(s): 67.080.01),Fresh rhubarb.</t>
  </si>
  <si>
    <d:r xmlns:d="http://schemas.openxmlformats.org/spreadsheetml/2006/main">
      <d:rPr>
        <d:sz val="11"/>
        <d:rFont val="Calibri"/>
      </d:rPr>
      <d:t xml:space="preserve">https://members.wto.org/crnattachments/2024/TBT/TZA/24_07470_00_e.pdf</d:t>
    </d:r>
  </si>
  <si>
    <t>Draft legislation: The Environmental Protection (Wet Wipes Containing Plastic) Regulations (Northern Ireland) 2025</t>
  </si>
  <si>
    <t>These regulations introduce a ban on the supply and sale of wet wipes containing plastic for domestic purposes subject to exceptions. These regulations will apply to all businesses that operate in Northern Ireland. A "wet wipe" means a non-woven piece of fabric which has been pre-wetted, and which is not designed or intended to be re-used.Under these regulations "plastic" means a material consisting of polymer as defined in Article 3(5) of Regulation (EC) No 1907/2006 concerning the Registration, Evaluation Authorisation and Restriction of Chemicals (REACH), to which additives or other substances may have been added, and which can function as a main structural component of final products, with the exception of natural polymers that have not been chemically modified.These restrictions will not apply to:The manufacture or import of wet wipes containing plastic.Supply and sale of wet wipes containing plastic, for the purpose of some business-to-business sales, as specified in the regulations.The supply and sale of wet wipes containing plastic by a retail pharmacy business, subject to exemptions.The supply of wet wipes containing plastic for use for medical purposes by or under the direction of a healthcare professional or by a healthcare professional for medical purposes.These regulations will apply in Northern Ireland. The other UK nations, England, Scotland and Wales will introduce their own legislation with the same intent and scope to ban wet wipes containing plastic in each of their respective nations.Breach of these prohibitions will be an offence under the regulations and will lead to a summary conviction of a fine. The draft legislation provides a transition period of 18 months for industry and retailers.</t>
  </si>
  <si>
    <t>Organic surface-active agents (other than soap); surface-active preparations, washing preparations (including auxiliary washing preparations) and cleaning preparations, whether or not containing soap, other than those of heading 3401. (HS 3402)Insecticides, rodenticides, fungicides, herbicides, anti-sprouting products and plant-growth regulators, disinfectants and similar products, put up in forms or packings for retail sale or as preparations or articles (for example, sulphur-treated bands, wicks and candles, and fly-papers) HS 3808)</t>
  </si>
  <si>
    <t>3304 - Beauty or make-up preparations and preparations for the care of the skin, incl. sunscreen or suntan preparations (excl. medicaments); manicure or pedicure preparations; 3402 - Organic surface-active agents (excl. soap); surface-active preparations, washing preparations, incl. auxiliary washing preparations, and cleaning preparations, whether or not containing soap (excl. those of heading 3401); 3808 - Insecticides, rodenticides, fungicides, herbicides, anti-sprouting products and plant-growth regulators, disinfectants and similar products, put up for retail sale or as preparations or articles, e.g. sulphur-treated bands, wicks and candles, and fly-papers</t>
  </si>
  <si>
    <t>59.080.30 - Textile fabrics; 71.100.70 - Cosmetics. Toiletries</t>
  </si>
  <si>
    <d:r xmlns:d="http://schemas.openxmlformats.org/spreadsheetml/2006/main">
      <d:rPr>
        <d:sz val="11"/>
        <d:rFont val="Calibri"/>
      </d:rPr>
      <d:t xml:space="preserve">https://members.wto.org/crnattachments/2024/TBT/GBR/24_07460_00_e.pdf</d:t>
    </d:r>
  </si>
  <si>
    <t>AFDC 26 (3063) DTZS:2024, Fresh dandelion greens — Specification</t>
  </si>
  <si>
    <t>This standard specifies the requirements, methods of sampling and test of dandelion greens consisting of either plants or cut leaves of varieties (cultivars) grown from Taraxacum officinale F.H. Wigg. to be supplied fresh to the consumer; dandelion greens for industrial processing being excluded.Note: This Draft Tanzania Standard was also notified under TBT Committee.</t>
  </si>
  <si>
    <t>Vegetable saps and extracts (excl. liquorice, hops, opium and ephedra) (HS code(s): 130219); Fruits, vegetables and derived products in general (ICS code(s): 67.080.01); Fresh dandelion greens</t>
  </si>
  <si>
    <d:r xmlns:d="http://schemas.openxmlformats.org/spreadsheetml/2006/main">
      <d:rPr>
        <d:sz val="11"/>
        <d:rFont val="Calibri"/>
      </d:rPr>
      <d:t xml:space="preserve">https://members.wto.org/crnattachments/2024/SPS/TZA/24_07463_00_e.pdf</d:t>
    </d:r>
  </si>
  <si>
    <t>AFDC 26 (3071) DTZS:2024, Fresh apples - Specification</t>
  </si>
  <si>
    <t>This Tanzania Standard specifies requirements, methods of sampling and tests of fresh apples of the species Malus domestica of the rosaceae family.Note: This Draft Tanzania Standard was also notified under TBT Committee.</t>
  </si>
  <si>
    <t>Fresh apples (HS code(s): 080810); Fruits and derived products (ICS code(s): 67.080.10)</t>
  </si>
  <si>
    <d:r xmlns:d="http://schemas.openxmlformats.org/spreadsheetml/2006/main">
      <d:rPr>
        <d:sz val="11"/>
        <d:rFont val="Calibri"/>
      </d:rPr>
      <d:t xml:space="preserve">https://members.wto.org/crnattachments/2024/SPS/TZA/24_07467_00_e.pdf</d:t>
    </d:r>
  </si>
  <si>
    <t>AFDC 26 (3071) DTZS:2024, Fresh apples - SpecificationNote: This Draft Tanzania Standard was also notified under SPS Committee</t>
  </si>
  <si>
    <t>This Tanzania Standard specifies requirements, methods of sampling and tests of fresh apples of the species Malus domestica of the rosaceae family.</t>
  </si>
  <si>
    <d:r xmlns:d="http://schemas.openxmlformats.org/spreadsheetml/2006/main">
      <d:rPr>
        <d:sz val="11"/>
        <d:rFont val="Calibri"/>
      </d:rPr>
      <d:t xml:space="preserve">https://members.wto.org/crnattachments/2024/TBT/TZA/24_07471_00_e.pdf</d:t>
    </d:r>
  </si>
  <si>
    <t>AFDC 26 (3205) DTZS:2024, Fresh annonas — SpecificationNote: This Draft Tanzania Standard was also notified under SPS committee</t>
  </si>
  <si>
    <t>This standard specifies the requirements, methods of sampling and test of the following fruits classified as "Annonas" to be supplied fresh to the consumer, annonas for industrial processing being excluded. a) Cherimoya of varieties (cultivars) grown from the species Annona cherimola Mill. b) Sugar apple of varieties (cultivars) grown from the species Annona squamosa L. c) Atemoya hybrid from the species Annona cherimola Mill. and Annona squamosa L. d) Soursop of varieties (cultivars) grown from the species Annona muricata L.</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</si>
  <si>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 Fresh annonas</t>
  </si>
  <si>
    <d:r xmlns:d="http://schemas.openxmlformats.org/spreadsheetml/2006/main">
      <d:rPr>
        <d:sz val="11"/>
        <d:rFont val="Calibri"/>
      </d:rPr>
      <d:t xml:space="preserve">https://members.wto.org/crnattachments/2024/TBT/TZA/24_07474_00_e.pdf</d:t>
    </d:r>
  </si>
  <si>
    <t>AFDC 26 (3074) DTZS:2024, Fresh watermelon - SpecificationNote: This Draft Tanzania Standard was also notified under SPS committee</t>
  </si>
  <si>
    <t>This standard specifies the requirements, methods of sampling and test of watermelons of varieties (cultivars) grown from Citrullus lanatus to be supplied fresh to the consumer, watermelons for industrial processing being excluded.</t>
  </si>
  <si>
    <d:r xmlns:d="http://schemas.openxmlformats.org/spreadsheetml/2006/main">
      <d:rPr>
        <d:sz val="11"/>
        <d:rFont val="Calibri"/>
      </d:rPr>
      <d:t xml:space="preserve">https://members.wto.org/crnattachments/2024/TBT/TZA/24_07473_00_e.pdf</d:t>
    </d:r>
  </si>
  <si>
    <t>AFDC 26 (3069) DTZS:2024, Leafy vegetables – SpecificationNote: This Draft Tanzania Standard was also notified under SPS committee</t>
  </si>
  <si>
    <t>This standard specifies requirements, methods of sampling and test of leafy vegetables to be supplied fresh to the consumers; leafy vegetables for industrial processing being excluded. The following is the representative list of the common leafy vegetable varieties; a) Night shade (Solanum vilosum/ nigrum) - Mnavu/ mnafu b) Ethiopian Mustard (Brasica carinata) - Figiri/Loshuu/saro c) Collard greens (Brassica oleracea var. viridis) - Sukuma wiki d) Kale (Brassica oleracea L. var.sabellica ) - sukuma wiki e) Swiss chard (Beta vulgaris forma cicla) - Chards f) Amaranth- (Amaranthus spp.) - Mchicha g) Sweet potato leaves (Ipomea batata) - Matembele h) Cassava leaves (Manihot esculentum) - Kisamvu i) Pumpkin leaves (Cucurbit pepo) - Majani ya maboga j) Jute Mallow (Corchorus spp) - Mlenda k) Spider Plant (Gynandropsis gynandra) - Mgagani l) Cowpea leaves (Vigna unguiculata) - Majani ya kunde m) Chinese cabbage (Brassica chinensis) - Chainizi n) Blackjack (Biddens pilosa, B. biternata); - Shona nguo/nata nata o) Lamb's quarter (Chenopodium album L.); - Muosha fedha p) Tackweed (Tribulus terrestris); - Mbigili q) African spinach (Basella alba L.) - Mlelema.</t>
  </si>
  <si>
    <t>Fresh or chilled fruits of the genus Capsicum or Pimenta (HS code(s): 070960); Fruits, vegetables and derived products in general (ICS code(s): 67.080.01), Leafy vegetables.</t>
  </si>
  <si>
    <d:r xmlns:d="http://schemas.openxmlformats.org/spreadsheetml/2006/main">
      <d:rPr>
        <d:sz val="11"/>
        <d:rFont val="Calibri"/>
      </d:rPr>
      <d:t xml:space="preserve">https://members.wto.org/crnattachments/2024/TBT/TZA/24_07472_00_e.pdf</d:t>
    </d:r>
  </si>
  <si>
    <t>Commission Implementing Regulation (EU) 2024/2427 of 16 September 2024 concerning the authorisation of coriander essential oil from Coriandrum sativum L. as a feed additive for all animal species (Text with EEA relevance)</t>
  </si>
  <si>
    <t>The substance covered by the Act was authorized as feed additive for all animal species. An application was submitted for the reauthorization of this substance in accordance with article 10 of Regulation (EC) No 1831/2003. Further to the positive assessment by the European Food Safety Authority, this substance is reauthorized as feed additive for all animal species, in the category ‘sensory additives’ and the functional group ‘flavouring compounds’, under certain conditions. A transitional period is included for the interested parties to meet the new authorization’s requirements.</t>
  </si>
  <si>
    <t>Preparations of a kind used in animal feeding (HS code(s): 2309)</t>
  </si>
  <si>
    <d:r xmlns:d="http://schemas.openxmlformats.org/spreadsheetml/2006/main">
      <d:rPr>
        <d:sz val="11"/>
        <d:rFont val="Calibri"/>
      </d:rPr>
      <d:t xml:space="preserve">https://members.wto.org/crnattachments/2024/SPS/EEC/24_07459_00_e.pdf
https://members.wto.org/crnattachments/2024/SPS/EEC/24_07459_00_f.pdf
https://members.wto.org/crnattachments/2024/SPS/EEC/24_07459_00_s.pdf</d:t>
    </d:r>
  </si>
  <si>
    <t>Vessel Incidental Discharge National Standards of Performance</t>
  </si>
  <si>
    <t xml:space="preserve">The U.S. Environmental Protection Agency (EPA) is correcting an error found in the Vessel Incidental Discharge National Standards of Performance final rule. The final rule appeared in the Federal Register on 9 October 2024 (notified as G/TBT/N/USA/1663/Add.3). This correction removes a footnote superscript number “1” that was included in error, as there is no accompanying footnote text.This correction is effective on 8 November 2024.89 Federal Register (FR) 86758, 31 October 2024; Title 40 Code of Federal Regulations (CFR) Part 139_x000D_
https://www.govinfo.gov/content/pkg/FR-2024-10-31/html/2024-25362.htm_x000D_
https://www.govinfo.gov/content/pkg/FR-2024-10-31/pdf/2024-25362.pdfThis and previous actions notified under the symbol G/TBT/N/USA/1663 are identified by Docket Number EPA-HQ-OW-2019-0482. The Docket Folder is available on Regulations.gov at https://www.regulations.gov/docket/EPA-HQ-OW-2019-0482/document and provides access to primary and supporting documents as well as comments received. Documents are also accessible from Regulations.gov by searching the Docket Number.</t>
  </si>
  <si>
    <t>Marine pollution control devices</t>
  </si>
  <si>
    <t>03.120 - Quality; 03.120 - Quality; 03.120 - Quality; 13.030 - Wastes; 13.030 - Wastes; 13.030 - Wastes; 13.060 - Water quality; 13.060 - Water quality; 13.060 - Water quality; 47.020 - Shipbuilding and marine structures in general; 47.020 - Shipbuilding and marine structures in general; 47.020 - Shipbuilding and marine structures in general</t>
  </si>
  <si>
    <d:r xmlns:d="http://schemas.openxmlformats.org/spreadsheetml/2006/main">
      <d:rPr>
        <d:sz val="11"/>
        <d:rFont val="Calibri"/>
      </d:rPr>
      <d:t xml:space="preserve">https://members.wto.org/crnattachments/2024/TBT/USA/24_07461_00_e.pdf</d:t>
    </d:r>
  </si>
  <si>
    <t>Draft Ministerial Regulation Prescribing Industrial Products for Hot-Dip Zinc-Aluminium (0.5% and above)-Magnesium (0.4% and above)-Alloy-Coated Flat Steel to conform to the Standard B.E. ….</t>
  </si>
  <si>
    <t>The draft Ministerial Regulation mandates hot-dip zinc-aluminium (0.5% and above)-magnesium (0.4% and above)-alloy-coated flat steel to conform to the Thai Industrial Standards TIS 3059-25XX (20XX) Hot-Dip Zinc-Aluminium (0.5% and above)-Magnesium (0.4% and above)-Alloy-Coated Flat Steel.This standard specifies technical specifications, characteristics, marking and labelling, sampling, and testing requirements for hot-dip zinc-aluminium (0.5% and above)- magnesium (0.4% and above)-alloy-coated flat steel that may be chemical-coated to adjust its surface, in the form of sheets, strips, and corrugated sheets with minimum thickness of 0.11 mm, with pitch of 76 mm and depth of 18 mm for large corrugated sheets, and pitch of 32 mm and depth of 9 mm for small corrugated sheets.</t>
  </si>
  <si>
    <t>Hot-dip zinc– aluminium (0.5% and above) - magnesium (0.4% and above) - alloy-coated flat steel (ICS 77.140.50)</t>
  </si>
  <si>
    <t>77.140.50 - Flat steel products and semi-products</t>
  </si>
  <si>
    <d:r xmlns:d="http://schemas.openxmlformats.org/spreadsheetml/2006/main">
      <d:rPr>
        <d:sz val="11"/>
        <d:rFont val="Calibri"/>
      </d:rPr>
      <d:t xml:space="preserve">https://members.wto.org/crnattachments/2024/TBT/THA/24_07457_00_x.pdf</d:t>
    </d:r>
  </si>
  <si>
    <t xml:space="preserve">Federal Motor Vehicle Safety Standards; Anti-Ejection Glazing for 
Bus Portals; Bus Emergency Exits and Window Retention and Release</t>
  </si>
  <si>
    <t xml:space="preserve">This final rule establishes Federal Motor Vehicle Safety Standard (FMVSS) No. 217a, “Anti-ejection glazing for bus portals; Mandatory applicability beginning 30 October 2027,” to drive the installation of advanced glazing in over-the-road buses (motorcoaches) and other large buses to reduce passenger and driver ejections. This final rule, issued pursuant to the Moving Ahead for Progress in the 21st Century Act (MAP-21), specifies impactor tests of the glazing material of side and roof windows. The impactor and impact speed simulate the loading from an average size unrestrained adult male impacting a window on the opposite side of a large bus in a rollover.Effective date: 30 December 2024.    Compliance date: The compliance date for FMVSS No. 217a and the amendments to FMVSS No. 217 is 30 October 2027. Optional early compliance with the standards is permitted.    Reconsideration date: If you wish to petition for reconsideration of this rule, your petition must be received by 16 December 2024. 89 Federal Register (FR) 86255, 30 October 2024; Title 49 Code of Federal Regulations (CFR) Part 571_x000D_
https://www.govinfo.gov/content/pkg/FR-2024-10-30/html/2024-24462.htm_x000D_
https://www.govinfo.gov/content/pkg/FR-2024-10-30/pdf/2024-24462.pdfThis final rule is identified by Docket Number NHTSA-2024-0061. The Docket Folder is available on Regulations.gov at https://www.regulations.gov/docket/NHTSA-2024-0061/document. The Docket provides access to the primary document, which is also accessible from Regulations.gov by searching the Docket Number. WTO Members and their stakeholders are asked to submit petitions for reconsideration of this rule to the USA TBT Enquiry Point by or before 4pmEastern Time on 16 December 2024. Petitions for reconsideration received by the USA TBT Enquiry Point from WTO Members and their stakeholders will be shared with NHTSA and will also be submitted to the Docket on Regulations.gov if received within the comment period.The notice of proposed rulemaking notified as G/TBT/N/USA/1123 is identified by Docket Number NHTSA-2016-0052. Comments received on the proposed rule are accessible at https://www.regulations.gov/docket/NHTSA-2016-0052/comments_x000D_
</t>
  </si>
  <si>
    <t>Anti-ejection glazing for bus portals</t>
  </si>
  <si>
    <t>43.040 - Road vehicle systems; 43.040 - Road vehicle systems; 43.080 - Commercial vehicles; 43.080 - Commercial vehicles</t>
  </si>
  <si>
    <d:r xmlns:d="http://schemas.openxmlformats.org/spreadsheetml/2006/main">
      <d:rPr>
        <d:sz val="11"/>
        <d:rFont val="Calibri"/>
      </d:rPr>
      <d:t xml:space="preserve">https://members.wto.org/crnattachments/2024/TBT/USA/final_measure/24_07449_00_e.pdf</d:t>
    </d:r>
  </si>
  <si>
    <t>Draft Ministerial Regulation Prescribing Industrial Products for Hot-Dip Zinc-Aluminium (5% and above)-Magnesium (2% and above)-Alloy-Coated Flat Steel to Conform to the Standard B.E. .… </t>
  </si>
  <si>
    <t>The draft Ministerial Regulation mandates hot-dip zinc-aluminium (5% and above)-magnesium (2% and above)-alloy-coated flat steel to conform to the Thai Industrial Standards TISI 2981-25XX (20XX) Hot-Dip Zinc-Aluminium (5% and above)-Magnesium (2% and above)-Alloy-Coated Flat Steel.This standard specifies technical specifications, characteristics, marking and labelling, sampling, and testing requirements for hot-dip zinc-aluminium (5% and above) - magnesium (2% and above) - alloy-coated flat steel that may be chemical-coated to adjust its surface, in the form of sheets, strips, and corrugated sheets with minimum thickness of 0.11 mm, with pitch of 76 mm and depth of 18 mm for large corrugated sheets, and pitch of 32 mm and depth of 9 mm for small corrugated sheets.</t>
  </si>
  <si>
    <t>Hot-dip zinc-aluminium (5% and above)-magnesium (2% and above)-alloy-coated flat steel (ICS 77.140.50)</t>
  </si>
  <si>
    <d:r xmlns:d="http://schemas.openxmlformats.org/spreadsheetml/2006/main">
      <d:rPr>
        <d:sz val="11"/>
        <d:rFont val="Calibri"/>
      </d:rPr>
      <d:t xml:space="preserve">https://members.wto.org/crnattachments/2024/TBT/THA/24_07456_00_x.pdf</d:t>
    </d:r>
  </si>
  <si>
    <t>Import suspension of poultry meat or egg products from part of the Denmark</t>
  </si>
  <si>
    <t>In order to prevent the introduction of High Pathogenicity Avian Influenza (HPAI) virus from entering Japan, MAFF has taken import suspension measures based on Articles 37 and 44 of the "Act on Domestic Animal Infectious Disease Control" and other relevant requirements.</t>
  </si>
  <si>
    <t>Poultry meat or egg products</t>
  </si>
  <si>
    <t>Animal diseases; Animal health; Pest- or Disease- free Regions / Regionalization; Zoonoses; Avian Influenza</t>
  </si>
  <si>
    <d:r xmlns:d="http://schemas.openxmlformats.org/spreadsheetml/2006/main">
      <d:rPr>
        <d:sz val="11"/>
        <d:rFont val="Calibri"/>
      </d:rPr>
      <d:t xml:space="preserve">https://members.wto.org/crnattachments/2024/SPS/JPN/24_07455_00_e.pdf</d:t>
    </d:r>
  </si>
  <si>
    <t>Draft of Government Regulation Number __ of__ Regarding Implementation of Halal Product Assurance</t>
  </si>
  <si>
    <t xml:space="preserve">Government Regulation (PP) No. 42 o 2024 is an amendment to Government Regulation Number 39 of 2021 concerning the implementation of halal product assurances. This regulation is intended to ensure that products consumed by Indonesians, particularly Muslims, comply with halal standards, providing consumers with certainty regarding halal products in the market. The main provisions regulated in Government Regulation No. 42 of 2024 include:a. Halal product assurance system administration by BPJPH_x000D_
BPJPH is responsible for administering the Halal Product Assurance system, ensuring compliance across all certified products.b. Separation of Halal and Non-Halal Processing Facilities_x000D_
Locations, facilities, and equipment for Halal Product Processes (PPH) must be distinct from those used for non-halal processes. This includes separation in areas for slaughtering, processing, storage, packaging, distribution, sales, and presentation.c. Guidelines for Establishing, Accrediting, and Revoking Halal Inspection Agency (LPH) Permits_x000D_
This includes procedures for setting up, accrediting, and defining the scope of activities of the LPH, as well as appointing and dismissing Halal Auditors.d. Rights and Obligations of Business Operators and Halal Supervisors_x000D_
Business operators' roles are outlined, along with the procedures for appointing Halal Supervisors, their responsibilities, and the support provided to them.e. Procedures for Applying for and Renewing Halal Certification_x000D_
BPJPH handles applications for new halal certificates and renewals, ensuring products maintain compliance over time.f. Ease of Halal Certification for Micro and Small Enterprises_x000D_
Simplified halal certification processes are provided for micro and small enterprises that meet BPJPH’s halal standards.g. Halal Labeling and Non-Halal Disclosure_x000D_
Products deemed halal must display a halal label, while non-halal products must include clear non-halal information on packaging.h. Halal product assurance Supervision by BPJPH_x000D_
BPJPH is responsible for overseeing compliance with halal certification requirements, ensuring consistency and accuracy.i. Interagency Collaboration_x000D_
BPJPH collaborates with various ministries (industry, trade, health, agriculture, cooperatives, and SMEs) and relevant government bodies, including those managing food and drug supervision, standardization, compliance assessment, accreditation, LPH, and the Indonesian Ulema Council (MUI).j. Certification and Registration for Imported Products_x000D_
Foreign products must undergo halal certification and registration to be sold in Indonesia.k. Types of Products Requiring Halal Certification and Certification Stages_x000D_
Specifies product categories that must obtain halal certification, detailing the phases of halal certification for all products distributed and sold within Indonesia.l. Public Participation in halal product assurance_x000D_
The regulation encourages community involvement in supporting halal product assurance processes.m. Administrative Sanctions_x000D_
Penalties, including administrative sanctions, are outlined for non-compliance with halal regulations, ensuring accountability among business operators.</t>
  </si>
  <si>
    <t>Food and beverages; traditional medicines and health supplements; medicinal products; cosmetics; chemical products; genetically engineered products; clothing, headgear and accessories; household appliances; moslems worship equipment; stationery and office equipment; goods for medical devices risk class A, B, and C.</t>
  </si>
  <si>
    <d:r xmlns:d="http://schemas.openxmlformats.org/spreadsheetml/2006/main">
      <d:rPr>
        <d:sz val="11"/>
        <d:rFont val="Calibri"/>
      </d:rPr>
      <d:t xml:space="preserve">https://members.wto.org/crnattachments/2024/TBT/IDN/final_measure/24_07453_00_x.pdf</d:t>
    </d:r>
  </si>
  <si>
    <t>Norma Técnica Secundaria para la Obtención del Certificado de Registro Sanitario Unificado (Secondary Technical Standard for obtaining the Unified Sanitary Registration Certificate)</t>
  </si>
  <si>
    <t xml:space="preserve">The notified text contains general principles for obtaining the Unified Sanitary Registration (RSU) Certificate for veterinary inputs for use in aquaculture, as an official guarantee of their quality, safety, security, efficiency and effectiveness for G/SPS/N/ECU/354 - 2 -   use in the aquaculture production chain. The notified text also describes processes related to the post-registration control programme applicable during the period of validity of the Unified Sanitary Registration Certificate.</t>
  </si>
  <si>
    <t>Animal products not elsewhere specified or included; dead animals of Chapter 1 or 3, unfit for human consumption (HS code: 05.11); algae, fresh, chilled, frozen or dried, whether or not ground, not elsewhere specified or included (HS code: 12.12); yeasts (active or inactive); other single-cell micro-organisms, dead (but not including vaccines of heading 30.02) (HS code: 21.02); flours, meals and pellets, of meat or meat offal, of fish or of crustaceans, molluscs or other aquatic invertebrates, unfit for human consumption (HS code: 23.01); preparations of a kind used in animal feeding (HS code: 23.09); provitamins and vitamins, natural or reproduced by synthesis (including natural concentrates), derivatives thereof used primarily as vitamins, and intermixtures of the foregoing, whether or not in any solvent (HS code: 29.36); antibiotics (HS code: 29.41); cultures of micro-organisms (excluding yeasts) and similar products (HS code: 30.02); animal or vegetable fertilisers, whether or not mixed together or chemically treated; fertilisers produced by the mixing or chemical treatment of animal or vegetable products (HS code: 31.01); Mineral or chemical fertilisers containing two or three of the fertilising elements nitrogen, phosphorus and potassium; other fertilisers; goods of this Chapter in tablets or similar forms or in packages of a gross weight not exceeding 10 kg (HS code: 31.05); peptones and their derivatives; other protein substances and their derivatives, not elsewhere specified or included (HS code: 35.04); Enzymes; prepared enzymes not elsewhere specified or included (HS code: 35.07); fungicides, herbicides, anti-sprouting products and plant-growth regulators, disinfectants and similar products, put up in forms or packings for retail sale (HS code: 38.08)</t>
  </si>
  <si>
    <t>0511 - Animal products n.e.s.; dead animals of all types, unfit for human consumption;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2102 - Yeasts, active or inactive; other dead single-cell micro-organisms, prepared baking powders (excl. single-cell micro-organisms packaged as medicaments); 2301 - Flours, meals and pellets, of meat or meat offal, of fish or of crustaceans, molluscs or other aquatic invertebrates, unfit for human consumption; greaves; 2936 - Provitamins and vitamins, natural or reproduced by synthesis, incl. natural concentrates, derivatives thereof used primarily as vitamins, and intermixtures of the foregoing, whether or not in any solvent; 2941 - Antibiotics; 3002 - Human blood; animal blood prepared for therapeutic, prophylactic or diagnostic uses; antisera and other blood fractions and immunological products, whether or not modified or obtained by means of biotechnological processes; vaccines, toxins, cultures of micro-organisms (excl. yeasts) and similar products; cell cultures, whether or not modified; 3101 - Animal or vegetable fertilisers, whether or not mixed together or chemically treated; fertilisers produced by the mixing or chemical treatment of animal or vegetable products.; 3105 - Mineral or chemical fertilisers containing two or three of the fertilising elements nitrogen, phosphorus and potassium; other fertilisers (excl. pure animal or vegetable fertilisers or mineral or chemical nitrogenous, phosphatic or potassic fertilisers); animal, vegetable, mineral or chemical fertilisers in tablets or similar forms or in packages of a gross weight of &lt;= 10 kg; 3504 - Peptones and their derivatives; other protein substances and their derivatives, not elsewhere specified or included; hide powder, whether or not chromed.; 3507 - Enzymes; prepared enzymes, n.e.s.; 3808 - Insecticides, rodenticides, fungicides, herbicides, anti-sprouting products and plant-growth regulators, disinfectants and similar products, put up for retail sale or as preparations or articles, e.g. sulphur-treated bands, wicks and candles, and fly-papers</t>
  </si>
  <si>
    <d:r xmlns:d="http://schemas.openxmlformats.org/spreadsheetml/2006/main">
      <d:rPr>
        <d:sz val="11"/>
        <d:rFont val="Calibri"/>
      </d:rPr>
      <d:t xml:space="preserve">https://members.wto.org/crnattachments/2024/SPS/ECU/24_07448_00_s.pdf
https://nube.produccion.gob.ec/index.php/s/Dnzby5mE5OfGr7t</d:t>
    </d:r>
  </si>
  <si>
    <t>Draft Amendment of the Technical Regulations for the Maritime Radio Equipment</t>
  </si>
  <si>
    <t>This regulation is to specify technical specifications of Maritime Radio equipment to harmonize with international standards (ITU Radio Regulations).</t>
  </si>
  <si>
    <t>Maritime Radio Equipment</t>
  </si>
  <si>
    <t>33.060 - Radiocommunications; 47.020 - Shipbuilding and marine structures in general</t>
  </si>
  <si>
    <d:r xmlns:d="http://schemas.openxmlformats.org/spreadsheetml/2006/main">
      <d:rPr>
        <d:sz val="11"/>
        <d:rFont val="Calibri"/>
      </d:rPr>
      <d:t xml:space="preserve">https://members.wto.org/crnattachments/2024/TBT/KOR/24_07454_00_x.pdf</d:t>
    </d:r>
  </si>
  <si>
    <t xml:space="preserve">Notice of Availability and Request for Comment: Data Regarding 
Debris Penetration Hazards for Recreational Off-Highway Vehicles and 
Utility Task/Terrain Vehicles; Extension of Comment Period&gt;</t>
  </si>
  <si>
    <t xml:space="preserve">The U.S. Consumer Product Safety Commission (Commission or CPSC) published a notice of proposed rulemaking (NPR) in July 2022 (notified as G/TBT/N/USA/1730/Add.1) to address debris penetration hazards for recreational off-highway vehicles (ROVs) and utility task/terrain vehicles (UTVs). On 4 October 2024, the Commission published a notice of availability and request for comment (NOA) (notified as G/TBT/N/USA/1730/Add.3) to announce the availability of, and to seek comments on, details about incident data relevant to the NPR. The NOA invited the public to submit written comments during a 30-day comment period ending on 4 November 2024. In response to a request for an extension of the NOA comment period, the Commission is extending the comment period to 4 December 2024.The comment period for the proposed rule published on 4 October 2024, at 89 FR 80831, is extended. Submit comments by 4 December 2024.89 Federal Register (FR) 86290, Title 16 Code of Federal Regulations (CFR) Part 1421:_x000D_
https://www.govinfo.gov/content/pkg/FR-2024-10-30/html/2024-25132.htm_x000D_
https://www.govinfo.gov/content/pkg/FR-2024-10-30/pdf/2024-25132.pdf_x000D_
This and other actions notified under the symbol G/TBT/N/USA/1730 are identified by Docket Number CPSC-2021-0014. The Docket Folder is available at https://www.regulations.gov/docket/CPSC-2021-0014/document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4 December 2024. Comments received by the USA TBT Enquiry Point from WTO Members and their stakeholders will be shared with the CPSC and will also be submitted to the Docket on Regulations.gov if received within the comment period._x000D_
</t>
  </si>
  <si>
    <t>Off-highway vehicles (OHVs)</t>
  </si>
  <si>
    <t>13.220 - Protection against fire; 13.220 - Protection against fire; 13.230 - Explosion protection; 13.230 - Explosion protection; 13.240 - Protection against excessive pressure; 13.240 - Protection against excessive pressure; 13.300 - Protection against dangerous goods; 13.300 - Protection against dangerous goods; 43.160 - Special purpose vehicles; 43.160 - Special purpose vehicles</t>
  </si>
  <si>
    <t>Act No. 14430, 7 October 2024</t>
  </si>
  <si>
    <t>ANATEL published Acts No. 14430, of 7 October 2004, which updates  the  technical requirements  for assessing the conformity of Cellular Mobile Telephone and Access Terminal Station (ETA) to  restrict  the certification  and  approval of  new  equipment that  only  operates with  3G technology or lower, for use in Personal Mobile Service (SMP) networks.</t>
  </si>
  <si>
    <t>ELECTRICAL MACHINERY AND EQUIPMENT AND PARTS THEREOF; SOUND RECORDERS AND REPRODUCERS, TELEVISION IMAGE AND SOUND RECORDERS AND REPRODUCERS, AND PARTS AND ACCESSORIES OF SUCH ARTICLES (HS code(s): 85); Telecommunications. Audio and video engineering (ICS code(s): 33)</t>
  </si>
  <si>
    <t>33 - TELECOMMUNICATIONS. AUDIO AND VIDEO ENGINEERING; 33 - Telecommunications. Audio and video engineering</t>
  </si>
  <si>
    <t xml:space="preserve">Quality requirements (TBT); Not specified  (TBT)</t>
  </si>
  <si>
    <d:r xmlns:d="http://schemas.openxmlformats.org/spreadsheetml/2006/main">
      <d:rPr>
        <d:sz val="11"/>
        <d:rFont val="Calibri"/>
      </d:rPr>
      <d:t xml:space="preserve">https://members.wto.org/crnattachments/2024/TBT/BRA/final_measure/24_07450_00_x.pdf</d:t>
    </d:r>
  </si>
  <si>
    <t>Reglamento Técnico Ecuatoriano Emergente RTE 072 (2R) "Eficiencia energética para acondicionadores de aire sin ductos" (Second revision (2R) of Ecuadorian Emergency Technical Regulation (RTE) No. 072 "Energy efficiency of ductless air conditioners") (24 pages, in Spanish)</t>
  </si>
  <si>
    <t>The notified Ecuadorian Emergency Technical Regulation establishes the requirements to be met by ductless air conditioners, with the aim of protecting the environment and preventing deceptive practices. The current electricity situation in Ecuador has generated a number of significant challenges for the country, affecting both the population and the economy. The problem has intensified because of factors such as increased energy demand, variability in the production of hydro-electricity, and lack of investment in energy infrastructure. As a result, electricity rationing and programmed electricity cuts have been implemented, which has led to widespread discontent among citizens and has had a negative impact on productive sectors such as industry and trade. The need to diversify energy sources, implement energy efficiency measures to reduce demand and improve the management of the electricity system value chain has become imperative to ensure reliable and sustainable supply in the future.</t>
  </si>
  <si>
    <t>Air conditioning machines of a kind designed to be fixed to a window, wall, ceiling or floor, self-contained or "split-system" (HS code: 841510); Air conditioning machines incorporating a refrigerating unit and a valve for reversal of the cooling/heat cycle "reversible heat pumps" (excl. self-contained or "split-system" window or wall air conditioning machines; air conditioning machines of a kind used for persons in motor vehicles) (HS code: 841581); Air conditioning machines incorporating a refrigerating unit but not a valve for reversal of the cooling/heat cycle (excl. self-contained or "split-system" window or wall air conditioning machines; air conditioning machines of a kind used for persons in motor vehicles) (HS code: 841582) G/TBT/N/ECU/548 - 2 -</t>
  </si>
  <si>
    <t>841510 - Air conditioning machines designed to be fixed to a window, wall, ceiling or floor, self-contained or "split-system"; 841581 - Air conditioning machines incorporating a refrigerating unit and a valve for reversal of the cooling-heat cycle "reversible heat pumps" (excl. of a kind used for persons in motor vehicles and self-contained or "split-system" window or wall air conditioning machines); 841582 - Air conditioning machines incorporating a refrigerating unit but without a valve for reversal of the cooling-heat cycle (excl. of a kind used for persons in motor vehicles, and self-contained or "split-system" window or wall air conditioning machines)</t>
  </si>
  <si>
    <t>National security requirements (TBT); Consumer information, labelling (TBT); Prevention of deceptive practices and consumer protection (TBT); Protection of the environment (TBT)</t>
  </si>
  <si>
    <d:r xmlns:d="http://schemas.openxmlformats.org/spreadsheetml/2006/main">
      <d:rPr>
        <d:sz val="11"/>
        <d:rFont val="Calibri"/>
      </d:rPr>
      <d:t xml:space="preserve">https://members.wto.org/crnattachments/2024/TBT/ECU/24_07388_00_s.pdf
https://members.wto.org/crnattachments/2024/TBT/ECU/24_07388_01_s.pdf
https://members.wto.org/crnattachments/2024/TBT/ECU/24_07388_02_s.pdf
www.normalizacion.gob.ec</d:t>
    </d:r>
  </si>
  <si>
    <t>2025 Building Energy Efficiency Standards</t>
  </si>
  <si>
    <t xml:space="preserve">This is a notification for public comments on the Draft 2025 ACM Reference Manuals. ACM refers to the 2025 Single-Family Residential Alternative Calculation Method (ACM) Reference Manual and the 2025 Non-residential and Multifamily ACM Reference Manual (collectively, the 2025 ACM Reference Manuals).  Additionally, this provides notification of a public workshop on November 14th. This workshop will be on the first draft of the 2025 ACM Reference Manuals and also provide information on the 2025 Compliance Manuals development process. 2025 Single-Family Residential ACM Reference Manual • The 2025 Single-Family Residential ACM Reference Manual defines the rules for compliance software used to demonstrate Energy Code compliance under the performance pathway. Specifically, the ACM Reference Manual details the procedures involved in determining the energy budgets of the Standard Design and Proposed Design for single-family buildings. • To access the 2025 Single-Family ACM Reference Manual document please visit https://efiling.energy.ca.gov/Lists/DocketLog.aspx?docketnumber=24-BSTD-032025 Nonresidential and Multifamily ACM Reference Manual • The Nonresidential and Multifamily Buildings ACM Reference Manual defines the rules for compliance software used to demonstrate Energy Code compliance under the performance pathway. Specifically, the ACM Reference Manual details the procedures involved in determining the energy budgets of the Standard Design and Proposed Design nonresidential and multifamily buildings. • To access the 2025 Nonresidential and Multifamily ACM Reference Manual document please visit https://efiling.energy.ca.gov/Lists/DocketLog.aspx?docketnumber=24-BSTD-03The California Energy Commission (CEC) Efficiency Division will host a public workshop to discuss the draft guidance documents to support the 2025 update to California's Building Energy Efficiency Standards (Energy Code) contained in the California Code of Regulations (CCR), Title 24, Parts 1 and 6 and provide an opportunity for interested members of the public to comment on the 2025 Residential ACM Reference Manual and the 2025 non-residential and Multifamily ACM Reference Manual.2025 ACM Reference Manuals and 2025 Compliance Manuals Workshop _x000D_
14 November 2024 1:00 p.m. – 4:00 p.m.Pacific Time_x000D_
Remote access only; participants may join via Zoom, by internet or phone. To join via Zoom:Click on https://energy.zoom.us/j/87092186271?pwd=NvS0CakPIMQCgrjEKYDsyUtTH1BfQz.1 or login in at https://zoom.us/ and enter the Webinar ID 870 9218 6271 and passcode 772036 and follow all prompts. To join by telephone, call toll-free at (888) 475-4499 or toll at (669) 219-2599. When prompted, enter the Webinar ID 870 9218 6271 and passcode 772036. The CEC aims to begin promptly at the start time posted and the end time is an estimate based on the proposed agenda. The workshop may end sooner or later than the posted end time. Zoom Closed Captioning Service: At the bottom of the screen, click the Live Transcript CC icon and choose “Show Subtitle” or “View Full Transcript” from the popup menu. To stop closed captioning, close the “Live Transcript” or select “Hide Subtitle” from the pop-up menu. If joining by phone, closed captioning is automatic and cannot be turned off. While closed captioning is available in real-time, it can include errors. A more accurate transcript of the workshop will be docketed and posted as soon as possible after the meeting concludes.WTO Members and their stakeholders are asked to submit comments to the USA TBT Enquiry Point. Comments received by the USA TBT Enquiry Point from WTO Members and their stakeholders by 4pm Eastern Time on 13 December 2024 will be shared with CEC.</t>
  </si>
  <si>
    <t>Energy efficiency; Environmental protection (ICS code(s): 13.020); Air quality (ICS code(s): 13.040); Energy efficiency. Energy conservation in general (ICS code(s): 27.015); Installations in buildings (ICS code(s): 91.140)</t>
  </si>
  <si>
    <t>13.040 - Air quality; 91.140 - Installations in buildings; 13.040 - Air quality; 27.015 - Energy efficiency. Energy conservation in general; 27.015 - Energy efficiency. Energy conservation in general; 91.140 - Installations in buildings</t>
  </si>
  <si>
    <d:r xmlns:d="http://schemas.openxmlformats.org/spreadsheetml/2006/main">
      <d:rPr>
        <d:sz val="11"/>
        <d:rFont val="Calibri"/>
      </d:rPr>
      <d:t xml:space="preserve">https://members.wto.org/crnattachments/2024/TBT/USA/24_07452_00_e.pdf
https://members.wto.org/crnattachments/2024/TBT/USA/24_07452_01_e.pdf
https://members.wto.org/crnattachments/2024/TBT/USA/24_07452_02_e.pdf</d:t>
    </d:r>
  </si>
  <si>
    <t>Public Consultation 51, 17 October 2024</t>
  </si>
  <si>
    <t>Public Consultation to update Act No. 14448, 4 December 2017, which approves the technical specification to assessment conformity and test procedures of​ restricted radiation radio communication equipment (Short range devices).Comments can be made at:https://apps.anatel.gov.br/ParticipaAnatel/Home.aspxSelecting Public consultation No 51</t>
  </si>
  <si>
    <t>85 - ELECTRICAL MACHINERY AND EQUIPMENT AND PARTS THEREOF; SOUND RECORDERS AND REPRODUCERS, TELEVISION IMAGE AND SOUND RECORDERS AND REPRODUCERS, AND PARTS AND ACCESSORIES OF SUCH ARTICLES</t>
  </si>
  <si>
    <t>33 - Telecommunications. Audio and video engineering</t>
  </si>
  <si>
    <d:r xmlns:d="http://schemas.openxmlformats.org/spreadsheetml/2006/main">
      <d:rPr>
        <d:sz val="11"/>
        <d:rFont val="Calibri"/>
      </d:rPr>
      <d:t xml:space="preserve">https://members.wto.org/crnattachments/2024/TBT/BRA/24_07451_00_x.pdf</d:t>
    </d:r>
  </si>
  <si>
    <t>Singapore</t>
  </si>
  <si>
    <t>Environmental Protection and Management Act (Amendment of Second Schedule) (No. 2) Order 2024, (5 page(s), in English)Environmental Protection and Management (Hazardous Substances) (Amendment) Regulations 2024, (2 page(s), in English)</t>
  </si>
  <si>
    <t>Singapore’s National Environment Agency (NEA) is proposing to regulate 2 groups of chemicals and 9 mercury-added products as Hazardous Substances under the Environmental Protection and Management Act (EPMA) and/or EPM (Hazardous Substances) Regulations (EPM (HS) Regulations). The 2 groups of chemicals have been assessed by the Persistent Organic Pollutant Review Committee (POPRC) of the Stockholm Convention to be persistent organic pollutants that are likely, as a result of their long-range environment transport, to lead to significant adverse human health and/or environmental effects such that global action is warranted. Accordingly, the POPRC has recommended for the 2 groups of chemicals to be listed under Annex A of the Stockholm Convention for elimination. The 9 mercury-added products were adopted into Annex A of the Minamata Convention for phasing out by 1 Jan 2026. The proposed regulation of the 2 groups of chemicals and 9 mercury-added products under the EPMA and/or EPM (HS) Regulations is planned to take effect in Jun 2025. Once the regulations take effect, importers, manufacturers and distributors of the 2 groups of chemicals and of products containing these chemicals will be required to apply for a Hazardous Substances (HS) licence/permit for the import, export, sale, manufacture, transport, storage and/or use of these chemicals. Accordingly, importers, manufacturers and distributors of the 2 groups of chemicals and products containing these chemicals would have to comply with the requirements on the import, manufacture, sale, transport, storage and/or use of hazardous substances, that are stipulated in the EPMA and EPM (HS) Regs. The import, export and manufacture of the 9 mercury-added products will not be allowed once the regulations take effect. </t>
  </si>
  <si>
    <t>Products covered (HS or CCCN where applicable, otherwise national tariff heading. ICS numbers may be provided in addition, where applicable):S/NChemical Name &amp; IdentityCAS No.HS Code HS Description1Medium-chain chlorinated paraffins (chain lengths at least C14 but not exceeding C17)85535-85-938249999Other chemical products &amp; preparations of the chemical or allied industries excluding naphthenic acids their water insoluble salts &amp; their esters29031990Other saturated chlorinated derivatives of acyclic hydrocarbons32081019Varnishes based on polyesters in non-aqueous medium not for dentistry use32081090Other paints based on polyesters in non-aqueous medium &amp; solutions defined in Note 4 of Chapter 32 based on polyesters32082090Other paints &amp; varnishes in non-aqueous medium &amp; solutions defined in Note 4 of Chapter 32 based on acrylic or vinyl polymers34031111Lubricating oil preparations for treatment of materials in liquid form containing by weight less than 70% of petroleum or bituminous mineral oils34031912Lubricating preparations with silicone oil in liquid form not for aircraft engines containing by weight less than 70% of petroleum or bituminous mineral oils34031919Other lubricating preparations not for aircraft engines in liquid form containing by weight less than 70% of petroleum or bituminous mineral oils not elsewhere specified34039111Preparations for treatment of materials in liquid form containing silicone oil not containing petroleum or bituminous mineral oils34039119Other preparations for treatment of materials in liquid form not containing silicone oil not containing petroleum or bituminous mineral oils34039912Lubricating preparations with silicone oil in liquid form not containing petroleum or bituminous mineral oil34039919Other lubricating preparations in liquid form not containing petroleum or bituminous mineral oil not elsewhere specified38112110Additives for lubricating oil containing petroleum or oils from bituminous minerals for retail38112190Additives for lubricating oil containing petroleum or oils from bituminous minerals not for retail38112900Additives for lubricating oil not containing petroleum or oils form bituminous materials38122000Compound plasticisers for rubber or plastics38229090Other diagnostic or laboratory reagents on a backing prepared diagnostic or laboratory reagents excluding heading 3006 &amp; certified reference materials2Perfluorononanoic acid, its salts and related compounds*375-95-129159090Other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materials3Perfluorodecanoic acid, its salts and related compounds*335-76-229159090Other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materials4Perfluoroundecylic acid, its salts and related compounds*2058-94-829159090Other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materials5Perfluorododecanoic acid, its salts and related compounds*307-55-129159090Other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materials6Perfluorotridecanoic acid, its salts and related compounds*72629-94-829159090Other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materials7Perfluorotetradecanoic acid, its salts and related compounds*376-06-729159090Other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materials8Perfluoropentadecanoic acid, its salts and related compounds*141074-63-729159090Other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materials9Perfluorohexadecanoic acid, its salts and related compounds*67905-19-529159090Other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materials10Perfluoroheptadecanoic acid, its salts and related compounds*57475-95-329159090Other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materials11Perfluorooctadecanoic acid, its salts and related compounds*16517-11-629159090Other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materials12Perfluorononadecanoic acid, its salts and related compounds*133921-38-729159090Other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materials13Perfluoroeicosanoic acid, its salts and related compounds*68310-12-329159090Other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materials14Perfluoroheneicosanoic acid, its salts and related compounds2920913-30-829159090Other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materials15Compact fluorescent lamps with an integrated ballast (CFL.i) for general lighting purposes that are ≤ 30 watts with a mercury content not exceeding 5 mg per lamp burner 85393110Tubes for compact fluorescent hot cathode lamps excluding ultraviolet lamps85393130Compact fluorescent hot cathode lamps with built-in ballast excluding ultraviolet lamps85393190Other discharge fluorescent hot cathode lamps excluding ultraviolet lamps85393910Other tubes for compact discharge fluorescent lamps85393990            Other discharge lamps excluding ultraviolet lamps  16Cold cathode fluorescent lamps and external electrode fluorescent lamps of all lengths for electronic displays85393940 Other fluorescent cold cathode lamps85393990Other discharge lamps excluding ultraviolet lamps85287292 Colour television receivers LCD, LED or flat panel display type not battery operated85285200 Other monitors capable of directly connecting to and designed for use with automatic data processing system of heading 847185393920Cold cathode fluorescent lamps (CCFLS) for backlighting of flat panel displays17Strain gauges to be used in plethysmographs90279000Microtomes &amp; parts and accessories thereof 18The following electrical and electronic measuring devices except those installed in large-scale equipment or those used for high precision measurement, where no suitable mercury free alternative is available:•Melt pressure transducers, melt pressure transmitters and melt pressure sensors90262090Other instruments and apparatus for measuring or checking pressure     19Mercury vacuum pumps84141000 Vacuum pumps20Tyre balancers and wheel weights90311000Machines for balancing mechanical parts87087095Other road wheels &amp; parts &amp; accessories thereof for vehicles of heading 870187087096Other road wheels &amp; parts &amp; accessories thereof for vehicles of heading 8702 or 870487087097Other road wheels &amp; parts &amp; accessories thereof for vehicles of heading 870387087099Other road wheels &amp; parts &amp; accessories thereof for vehicles of heading 870521Photographic film and paper37011000Photographic plates and film in the flat sensitised unexposed of any material excluding paper paperboard or textiles for x-ray37013000Other photographic plates and film in the flat sensitised unexposed of any material excluding paper paperboard or textiles with any side over 255 mm37019110Photographic plates and film in the flat sensitised unexposed of any material excluding paper paperboard or textiles for colour photography in printing industry37019190Other photographic plates and film in the flat sensitised unexposed of any material excluding paper paperboard or textiles for colour photography37019910Other photographic plates and film in the flat sensitised unexposed of any material excluding paper paperboard or textiles for use in printing industry37019990Other photographic plates and film in the flat sensitised unexposed of any material excluding paper paperboard or textiles not elsewhere specified37021000Photographic film in rolls sensitised unexposed of any material excl paper paperboard or textiles for x-ray37023100Other photographic film in rolls sensitised unexposed of any material excl paper paperboard or textiles without perforations of width not over 105mm for colour photography 37023200Other photographic film in rolls sensitised unexposed of any material excl paper paperboard or textiles without perforations of width not over 105mm with silver halide emulsion 37023900Other photographic film in rolls sensitised unexposed of any material excl paper paperboard or textiles without perforations of width not over 105mm nes37024100Other photographic film in rolls sensitised unexposed of any material excl paper paperboard or textiles without perforations of width over 610 mm length over 200 m for colour photography37024210Other photographic film in rolls sensitised unexposed of any material excl paper paperboard or textiles without perforations of width over 610 mm length over 200m excl colour photography suitable for medical or veterinary or printing industry 37024290Other photographic film in rolls sensitised unexposed of any material excl paper paperboard or textiles without perforations of width over 610 mm length over 200m in other forms37024300Other photographic film in rolls sensitised unexposed of any material excl paper paperboard or textiles without perforations of width over 610 mm length not over 200 m 37024400Other photographic film in rolls sensitised unexposed of any material excl paper paperboard or textiles without perforations of width over 105 mm but not over 610 mm 37025220Other photographic film in rolls sensitised unexposed of any material excl paper paperboard or textiles of width not over 16 mm for use in cinematography 37025290Other photographic film in rolls sensitised unexposed of any material excl paper paperboard or textiles of width not over 16 mm for colour photography excl for use in cinematography 37025300Other photographic film in rolls sensitised unexposed of any material excl paper paperboard or textiles of width over 16 mm but not over 35 mm &amp; length not over 30 m for colour photography for slides37025440Other photographic film in rolls sensitised unexposed of any material excl paper paperboard or textiles of width over 16 to 35 mm &amp; length up to 30 m colour photography excl slides but in medical surgical dental veterinary sciences/printing industry37025490Other photographic film in rolls sensitised unexposed of any material excl paper paperboard or textiles of width over 16 mm but not over 35 mm &amp; length not over 30 m for colour photography excl for slides 37025520Other photographic film in rolls sensitised unexposed of any material excl paper paperboard or textiles of width over 16 mm but not over 35 mm &amp; length over 30 m for colour photography for use in cinematography 37025550Other photographic film in rolls sensitised unexposed of any material excl paper paperboard or textiles of width over 16 mm to 35 mm &amp; length over 30 m for colour photography in medical surgical dental veterinary sciences or printing industry 37025590Other photographic film in rolls sensitised unexposed of any material excl paper paperboard or textiles of width over 16 mm but not over 35 mm &amp; length over 30 m for colour photography 37025620Other photographic film in rolls sensitised unexposed of any material excl paper paperboard or textiles of width over 35 mm for colour photography for use in cinematography 37025690Other photographic film in rolls sensitised unexposed of any material excl paper paperboard or textiles of width over 35 mm for colour photography excl for use in cinematography 37029610Other photographic film in rolls sensitised unexposed of any material excl paper paperboard or textiles of width not over 35 mm &amp; length not over 30 m for use in cinematography 37029690Other photographic film in rolls sensitised unexposed of any material excl paper paperboard or textiles of width not over 35 mm &amp; length not over 30 m excl for use in cinematography 37029710Other photographic film in rolls sensitised unexposed of any material excl paper paperboard or textiles of width over 35 mm &amp; length over 30 m for use in cinematography 37029790Other photographic film in rolls sensitised unexposed of any material excl paper paperboard or textiles of width over 35 mm &amp; length over 30 m excl for use in cinematography 37029810Other photographic film in rolls sensitised unexposed of any material excl paper paperboard or textiles of width over 35 mm for use in cinematography 37029830Other photographic film in rolls sensitised unexposed of any material excl paper paperboard or textiles of width over 35 mm &amp; length of 120 m or more excl for use in cinematography 37029890Other photographic film in rolls sensitised unexposed of any material excl paper paperboard or textiles of width over 35 mm37031010Photographic paper paperboard &amp; textiles sensitised unexposed in rolls of width over 610 mm but not over 1000 mm 37031090Photographic paper paperboard &amp; textiles sensitised unexposed in rolls of width over 1000 mm 37032000Photographic paper paperboard &amp; textiles sensitised unexposed in rolls of width not over 610 mm for colour photography37039000Photographic paper paperboard &amp; textiles sensitised unexposed in rolls of width not over 610 mm 37040010X-ray plates or film, exposed but not developed37040090Photographic plates film paper paperboard &amp; textiles exposed but not developed excl x ray plates or film37050010X-ray, exposed and developed other than cinematographic film37050020Microfilm, exposed and developed other than cinematographic film37050030Photographic plates and film exposed and developed for offset reproduction excl cinematographic film37050090Photographic plates and film exposed and developed excl cinematographic film x ray microfilm and offset reproduction22Propellant for satellites and spacecraft 36010000 Propellent powders23Very high accuracy capacitance and loss measurement bridges and high frequency radio frequency switches and relays in monitoring and control instruments with a maximum mercury content of 20 mg per bridge switch or relay, except those used for research and development purposes90308410Instruments &amp; apparatus (with a recording device) for measuring/checking electrical quantities on printed circuit boards (pcb) or printed wiring boards (pwb) and printed circuit assemblies (pca)90308490Other instruments &amp; apparatus (with a recording device) for measuring or checking electrical quantities90308910Instruments &amp; apparatus (without a recording device) for measuring or checking electrical quantities on printed circuit boards (pcb) or printed wiring boards (pwb) &amp; printed circuit assemblies (pca)90308990Other instruments &amp; apparatus (without a recording device) for measuring or checking electrical quantities90321000 Thermostats85353019 Other isolating switches &amp; make &amp; break switches for a voltage over 1KV but not over 40KV85353020Other isolating switches &amp; make &amp; break switches for a voltage of 66KV or more85353090Other isolating switches &amp; make &amp; break switches for a voltage over 40KV but less than 66KV84769090Parts of automatic goods vending machines84762100Automatic beverage vending machines with heating or refrigerating devices84762900Automatic beverage vending machines with no heating or refrigerating devices84768100Other goods vending machine incorporating heating or refrigerating devices84768990Other goods vending machine with no heating or refrigerating devices85364140Relays for a voltage not over 60V &amp; for a current of less than 16A85364199Other relays for a voltage not over 60V &amp; for a current of 16A or more85364990Relays for a voltage over 60V but not over 1kV85365033Other inrush switches etc for a voltage not over 1kV &amp; for a current of less than 16A85365039Other inrush switches etc for a voltage not over 1kV85365099Other switches for a voltage not over 1kV &amp; for a current of 16A or more90308290Other Instruments &amp; apparatus for measuring or checking semiconductor wafers or devices90309090Parts &amp; Accessories of instruments &amp; apparatus for measuring or checking electrical quantities or alpha beta gamma x-ray cosmic or ionising radiations90309040Parts &amp; Accessories of other instruments &amp; apparatus for measuring or checking electrical quantities on printed circuit boards (PCD) or printed wiring boards (PWB) &amp; printed circuit assemblies (PCA) 90319090Other parts &amp; accessories of measuring or checking instruments appliances and machines in chapter 9085177932Parts of other printed circuit boards assembled of goods for radio-telephony or radio-telegraphy85176261Other transmission apparatus for radiotelephony or radiotelegraphy not elsewhere specified85177939Parts of other printed circuit boards assembly of goods of heading 8517 (excl those for line/radio telephony or line/radio telegraphy)85176292Other machines for reception conversion &amp; transmission or regeneration of voice images or other data for radiotelephony or radiotelegraphy85176253Other transmission apparatus for radio-telephony or radio-telegraphy incorporating reception apparatus*        As related salt and compound are too broad to give an exhaustive list, only sub-headings are included.</t>
  </si>
  <si>
    <t>29031 - - Saturated chlorinated derivatives of acyclic hydrocarbons:; 291590 - Saturated acyclic monocarboxylic acids, their anhydrides, halides, peroxides and peroxyacids; their halogenated, sulphonated, nitrated or nitrosated derivatives (excl. formic acid and acetic acid, mono-, di- or trichloroacetic acids, propionic acid, butanoic and pentanoic acids, palmitic and stearic acids, their salts and esters, and acetic anhydride); 320810 - Paints and varnishes, incl. enamels and lacquers, based on polyesters, dispersed or dissolved in a non-aqueous medium; solutions based on polyesters in volatile organic solvents, containing &gt; 50% solvent by weight; 320820 - Paints and varnishes, incl. enamels and lacquers, based on acrylic or vinyl polymers, dispersed or dissolved in a non-aqueous medium; solutions based on acrylic or vinyl polymers in volatile organic solvents, containing &gt; 50% solvent by weight; 340311 - Textile lubricant preparations and preparations of a kind used for the oil or grease treatment of leather, furskins or other material containing petroleum oil or bituminous mineral oil (excl. preparations containing, as basic constituents, &gt;= 70% petroleum oil or bituminous mineral oil by weight); 340319 - Lubricant preparations, incl. cutting-oil preparations, bolt or nut release preparations, anti-rust or anti-corrosion preparations and mould-release preparations, based on lubricants and containing petroleum oil or bituminous mineral oil (excl. preparations containing, as basic constituents, &gt;= 70% of petroleum oil or bituminous mineral oil by weight and preparations for treating textiles, leather, furskins and other materials); 340391 - Textile lubricant preparations and preparations of a kind used for the oil or grease treatment of leather, furskins or other material not containing petroleum oil or bituminous mineral oil; 340399 - Lubricant preparations, incl. cutting-oil preparations, bolt or nut release preparations, anti-rust or anti-corrosion preparations and mould-release preparations, based on lubricants but not containing petroleum oil or bituminous mineral oil (excl. preparations for the treatment of textiles, leather, furskins and other materials); 381121 - Prepared additives for oil lubricants containing petroleum oil or bituminous mineral oil; 381129 - Prepared additives for oil lubricants not containing petroleum oil or bituminous mineral oil; 381220 - Compound plasticisers for rubber or plastics, n.e.s.; 382290 - Certified reference materials; 382499 - Chemical products and preparations of the chemical or allied industries, incl. those consisting of mixtures of natural products, n.e.s.; 370110 - Photographic plates and film in the flat, sensitised, unexposed, for X-ray (excl. of paper, paperboard and textiles); 370130 - Photographic plates and film in the flat, sensitised, unexposed, with any side &gt; 255 mm; 370191 - Photographic plates and film in the flat, sensitised, unexposed, of any material other than paper, paperboard or textiles, for colour photography "polychrome" (excl. instant print film); 370199 - Photographic plates and film in the flat for monochrome photography, sensitised, unexposed, of any material other than paper, paperboard or textiles (excl. X-ray film and photographic plates, film in the flat with any side &gt; 255 mm, and instant print film); 370210 - Photographic film in rolls, unexposed, for X-ray (excl. of paper, paperboard or textiles); 370231 - Photographic film "incl. instant print film", in rolls, sensitised, unexposed, without perforations, width &lt;= 105 mm, for colour photography "polychrome" (excl. that of paper, paperboard or textiles); 841410 - Vacuum pumps; 852852 - Monitors capable of directly connecting to and designed for use with an automatic data processing machine of heading 8471 (excl. CRT, with TV receiver); 852872 - Reception apparatus for television, colour, whether or not incorporating radio-broadcast receivers or sound or video recording or reproducing apparatus, designed to incorporate a video display or screen; 853931 - Discharge lamps, fluorescent, hot cathode; 853939 - Discharge lamps (excl. hot-cathode fluorescent lamps, mercury or sodium vapour lamps, metal halide lamps and ultraviolet lamps); 870870 - 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 902620 - Instruments and apparatus for measuring or checking pressure of liquids or gases (excl. regulators); 902790 - Microtomes; parts and accessories of instruments and apparatus for physical or chemical analysis, instruments and apparatus for measuring or checking viscosity, porosity, expansion, surface tension or the like, instruments and apparatus for measuring or checking quantities of heat, sound or light, and of microtomes, n.e.s.; 903110 - Machines for balancing mechanical parts; 360100 - Propellent powders; 903084 - Instruments and apparatus for measuring or checking electrical quantities, with recording device (excl. appliances specially designed for telecommunications, multimeters, oscilloscopes and oscillographs, and apparatus for measuring or checking semiconductor wafers or devices); 853530 - Isolating switches and make-and-break switches, for a voltage &gt; 1.000 V; 370500 - Photographic plates and film, exposed and developed (excl. products made of paper, paperboard or textiles, cinematographic film and ready-to-use printing plates); 370400 - Photographic plates, film, paper, paperboard and textiles, exposed but not developed; 370390 - Photographic paper, paperboard and textiles, sensitised, unexposed, for monochrome photography (excl. products in rolls &gt; 610 mm wide); 370320 - Photographic paper, paperboard and textiles, sensitised, unexposed, for colour photography "polychrome" (excl. products in rolls &gt; 610 mm wide); 370310 - Photographic paper, paperboard and textiles, sensitised, unexposed, in rolls &gt; 610 mm wide; 370298 - Photographic film, sensitised, in rolls, unexposed, with perforations, for monochrome photography, width &gt; 35 mm (excl. of paper, paperboard and textiles; X-ray film); 370297 - Photographic film, sensitised, in rolls, unexposed, with perforations, for monochrome photography, width &lt;= 35 mm, length &gt; 30 m (excl. of paper, paperboard and textiles; X-ray film); 370296 - Photographic film, sensitised, in rolls, unexposed, with perforations, for monochrome photography, width &lt;= 35 mm, length &lt;= 30 m (excl. of paper, paperboard and textiles; X-ray film); 370256 - Photographic film, sensitised, in rolls, unexposed, with perforations, for colour photography "polychrome", width &gt; 35 mm (excl. that of paper, paperboard or textiles); 370255 - Photographic film, sensitised, in rolls, unexposed, with perforations, for colour photography "polychrome", width &gt; 16 mm but &lt;= 35 mm, length &gt; 30 m (excl. of paper, paperboard and textiles; for slides); 370254 - Photographic film, sensitised, in rolls, unexposed, with perforations, for colour photography "polychrome", width &gt; 16 mm but &lt;= 35 mm, length &lt;= 30 m (excl. of paper, paperboard and textiles; for slides); 370253 - Photographic film, sensitised, in rolls, unexposed, with perforations, for colour photography "polychrome", width &gt; 16 mm to 35 mm, length &lt;= 30 m, for slides; 370252 - Photographic film, sensitised, in rolls, unexposed, with perforations, for colour photography "polychrome", width &lt;= 16 mm (excl. of paper, paperboard or textiles); 370244 - Photographic film "incl. instant print film"m, sensitised, in rolls, unexposed, without perforations, width &gt; 105 mm to 610 mm (excl. that of paper, paperboard or textiles); 370243 - Photographic film "incl. instant print film", sensitised, in rolls, unexposed, without perforations, width &gt; 610 mm, length &lt;= 200 m (excl. that of paper, paperboard or textiles); 370242 - Photographic film "incl. instant print film", sensitised, in rolls, unexposed, without perforations, width &gt; 610 mm, length &gt; 200 m, for monochrome photography (excl. that of paper, paperboard or textiles); 370241 - Photographic film "incl. instant print film", sensitised, in rolls, unexposed, without perforations, width &gt; 610 mm, length &gt; 200 m, for colour photography "polychrome" (excl. that of paper, paperboard or textiles); 370239 - Photographic film "incl. instant print film", sensitised, in rolls, unexposed, without perforations, width &lt;= 105 mm, for monochrome photography (excl. film with silver halide emulsion, film made of paper, paperboard or textiles and X-ray film); 370232 - Photographic film "incl. instant print film", in rolls, sensitised, unexposed, without perforations, width &lt;= 105 mm, with silver halide emulsion for monochrome photography (excl. that of paper, paperboard or textiles and X-ray film); 903089 - Instruments and apparatus for measuring or checking electrical quantities, without recording device, n.e.s.; 903210 - Thermostats; 847621 - Automatic beverage-vending machines incorporating heating or refrigerating devices; 847629 - Automatic beverage-vending machines, without heating or refrigerating devices; 847681 - Automatic goods-vending machines incorporating heating or refrigerating devices (excl. automatic beverage-vending machines); 847689 - Automatic goods-vending machines, without heating or refrigerating devices; money changing machines (excl. automatic beverage-vending machines); 847690 - Parts of automatic goods-vending machines, incl. money changing machines, n.e.s.; 851762 - Machines for the reception, conversion and transmission or regeneration of voice, images or other data, incl. switching and routing apparatus (excl. telephone sets, telephones for cellular networks or for other wireless networks); 851779 - Parts of telephone sets, telephones for cellular networks or for other wireless networks and of other apparatus for the transmission or reception of voice, images or other data, n.e.s.; 853641 - Relays for a voltage &lt;= 60 V; 853649 - Relays for a voltage &gt; 60 V but &lt;= 1.000 V; 853650 - Switches for a voltage &lt;= 1.000 V (excl. relays and automatic circuit breakers); 903082 - Instruments and apparatus for measuring or checking semiconductor wafers or devices, incl. integrated circuits; 903090 - Parts and accessories for instruments and apparatus for measuring or checking electrical quantities or for detecting ionising radiations, n.e.s.; 903190 - Parts and accessories for instruments, appliances and machines for measuring and checking, n.e.s.</t>
  </si>
  <si>
    <t>National Standard of the P.R.C., General safety technical requirements of gas-burning appliance used power</t>
  </si>
  <si>
    <t xml:space="preserve">This document specifies the risk classification, electrical structure and materials, electrical performance, electromagnetic compatibility safety, control safety, etc. for the electrical safety of gas-burning appliances._x000D_
This document applies to gas-burning appliances with a rated voltage not exceeding 250V as specified in GB 16914.</t>
  </si>
  <si>
    <t>Gas-burning appliances (HS code(s): 732111; 732181; 841911); (ICS code(s): 91.140)</t>
  </si>
  <si>
    <t>732111 - Appliances for baking, frying, grilling and cooking and plate warmers, for domestic use, of iron or steel, for gas fuel or for both gas and other fuels (excl. large cooking appliances); 841911 - Instantaneous gas water heaters (excl. boilers or water heaters for central heating); 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</si>
  <si>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91.140 - Installations in buildings</t>
  </si>
  <si>
    <d:r xmlns:d="http://schemas.openxmlformats.org/spreadsheetml/2006/main">
      <d:rPr>
        <d:sz val="11"/>
        <d:rFont val="Calibri"/>
      </d:rPr>
      <d:t xml:space="preserve">https://members.wto.org/crnattachments/2024/TBT/CHN/24_07436_00_x.pdf
https://members.wto.org/crnattachments/2024/TBT/CHN/24_07436_01_x.pdf</d:t>
    </d:r>
  </si>
  <si>
    <t>UAE GCC Technical Regulation for Cream Analogue</t>
  </si>
  <si>
    <t>This standard applies to basic requirements with cream analogue pasteurized, sterilized, and ultra-high heat-treated.</t>
  </si>
  <si>
    <t>0401 - Milk and cream, not concentrated nor containing added sugar or other sweetening matter</t>
  </si>
  <si>
    <d:r xmlns:d="http://schemas.openxmlformats.org/spreadsheetml/2006/main">
      <d:rPr>
        <d:sz val="11"/>
        <d:rFont val="Calibri"/>
      </d:rPr>
      <d:t xml:space="preserve">https://members.wto.org/crnattachments/2024/TBT/ARE/24_07404_00_e.pdf
https://members.wto.org/crnattachments/2024/TBT/ARE/24_07404_00_x.pdf</d:t>
    </d:r>
  </si>
  <si>
    <t>UAE GCC Technical Regulation for Barley flour</t>
  </si>
  <si>
    <t>This GCC Technical regulation applies to barley flour intended for direct human consumption from barley grains (Hordeum vulgare) excluding sprouted barley flour (Malt).</t>
  </si>
  <si>
    <t>Cereals, pulses and derived products (ICS code(s): 67.060)</t>
  </si>
  <si>
    <t>110290 - Cereal flours (excl. wheat, meslin and maize)</t>
  </si>
  <si>
    <d:r xmlns:d="http://schemas.openxmlformats.org/spreadsheetml/2006/main">
      <d:rPr>
        <d:sz val="11"/>
        <d:rFont val="Calibri"/>
      </d:rPr>
      <d:t xml:space="preserve">https://members.wto.org/crnattachments/2024/TBT/ARE/24_07418_00_e.pdf
https://members.wto.org/crnattachments/2024/TBT/ARE/24_07418_00_x.pdf</d:t>
    </d:r>
  </si>
  <si>
    <t>The Draft Food Safety and Standards (Licensing and Registration of Food Business) Amendment Regulations, 2024</t>
  </si>
  <si>
    <t>Draft Food Safety and Standards (Licensing and Registration of Food Business) Amendment Regulations, 2024, provision for Digitizing the Issuance of License and Registration and hygienic requirement for Primary Milk producers</t>
  </si>
  <si>
    <t>Food Products</t>
  </si>
  <si>
    <d:r xmlns:d="http://schemas.openxmlformats.org/spreadsheetml/2006/main">
      <d:rPr>
        <d:sz val="11"/>
        <d:rFont val="Calibri"/>
      </d:rPr>
      <d:t xml:space="preserve">https://members.wto.org/crnattachments/2024/TBT/IND/24_07437_00_x.pdf</d:t>
    </d:r>
  </si>
  <si>
    <t>Decree of Minister of Industry No. 92/M-IND/PER/11/2007 on Mandatory Implementation of Indonesia National Standard for 5 industry products </t>
  </si>
  <si>
    <t>Addendum     of    Mandatory Implementation    of     Indonesia     National     Standard     under G/TBT/N/IDN/19/Add.1 dated 25 September 2008, has been replaced by Regulation of Minister of Industry No. 16 Year 2024 concerning Mandatory Implementation of Indonesia National Standard for Valve of Tank Steel for LPG.The Regulation covers the issuance of SNI certificate using type 5 certification scheme, production process assessment and implementation of ISO 9001:2015, including product quality testing based on  SNI 1591:2022 for Valve of Tank Steel for LPG (HS Codes: 8481.80.21). Domestic or imported valve of tank steel for LPG product that has been produced before this Ministerial Regulation comes into effect can still be distributed up to a maximum of 12 (twelve) months from the date of enforcement</t>
  </si>
  <si>
    <t xml:space="preserve">Tank Steel for LPG  (HS:7311.00.91.00; 7311.00.99.00);  Valve of Tank Steel for LPG (HS.8481.80.21.00); LPG Stove of One Tank with Mechanic Burning (HS: 7321.11.00.00;  HS:  7321.81.00.00 and HS:  7321.90.90.00) Low Pressure Regulator for LPG Tank Steel (</t>
  </si>
  <si>
    <t>848110 - Pressure-reducing valves; 732190 - Parts of domestic appliances non-electrically heated of heading 7321, n.e.s.; 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 732111 - Appliances for baking, frying, grilling and cooking and plate warmers, for domestic use, of iron or steel, for gas fuel or for both gas and other fuels (excl. large cooking appliances); 7311 - Containers for compressed or liquefied gas, of iron or steel.; 400912 - Tubes, pipes and hoses, of vulcanised rubber (excl. hard rubber), not reinforced or otherwise combined with other materials, with fittings; 400911 - Tubes, pipes and hoses, of vulcanised rubber (excl. hard rubber), not reinforced or otherwise combined with other materials, without fittings; 848180 - Appliances for pipes, boiler shells, tanks, vats or the like (excl. pressure-reducing valves, valves for the control of pneumatic power transmission, check "non-return" valves and safety or relief valves); 848180 - Appliances for pipes, boiler shells, tanks, vats or the like (excl. pressure-reducing valves, valves for the control of pneumatic power transmission, check "nonreturn" valves and safety or relief valves); 848110 - Pressure-reducing valves; 7311 - Containers of iron or steel, for compressed or liquefied gas (excl. containers specifically constructed or equipped for one or more types of transport); 732111 - Appliances for baking, frying, grilling and cooking and plate warmers, for domestic use, of iron or steel, for gas fuel or for both gas and other fuels (excl. large cooking appliances); 732190 - Parts of domestic appliances non-electrically heated of heading 7321, n.e.s.; 400911 - Tubes, pipes and hoses, of vulcanised rubber (excl. hard rubber), not reinforced or otherwise combined with other materials, without fittings; 400912 - Tubes, pipes and hoses, of vulcanised rubber (excl. hard rubber), not reinforced or otherwise combined with other materials, with fittings; 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</si>
  <si>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23.020 - Fluid storage devices; 23.020.30 - Gas pressure vessels, gas cylinders; 23.020.30 - Gas pressure vessels, gas cylinders; 23.040.70 - Hoses and hose assemblies; 23.040.70 - Hoses and hose assemblies; 23.060 - Valves; 23.060.40 - Pressure regulators; 23.060.40 - Pressure regulators; 83.140.40 - Hoses; 83.140.40 - Hoses</t>
  </si>
  <si>
    <d:r xmlns:d="http://schemas.openxmlformats.org/spreadsheetml/2006/main">
      <d:rPr>
        <d:sz val="11"/>
        <d:rFont val="Calibri"/>
      </d:rPr>
      <d:t xml:space="preserve">https://members.wto.org/crnattachments/2024/TBT/IDN/final_measure/24_07395_00_x.pdf</d:t>
    </d:r>
  </si>
  <si>
    <t>Ministerial Decision number 1441 of 17 October 2024 (Romania)</t>
  </si>
  <si>
    <t>Decision to ban salmon (fresh, chilled, frozen and processed) of all types from Romania due to  due to infection with Gyrodactylus salaris</t>
  </si>
  <si>
    <t>Fish and crustaceans, molluscs and other aquatic invertebrates (HS code(s): 03); Preparations of meat, of fish, of crustaceans, molluscs or other aquatic invertebrates, or of insects (HS code(s): 16); Food technology (ICS code(s): 67)</t>
  </si>
  <si>
    <t>03 - FISH AND CRUSTACEANS, MOLLUSCS AND OTHER AQUATIC INVERTEBRATES; 16 - PREPARATIONS OF MEAT, OF FISH, OF CRUSTACEANS, MOLLUSCS OR OTHER AQUATIC INVERTEBRATES, OR OF INSECTS</t>
  </si>
  <si>
    <t>Animal diseases; Food safety; Animal health; Human health</t>
  </si>
  <si>
    <t>Romania</t>
  </si>
  <si>
    <d:r xmlns:d="http://schemas.openxmlformats.org/spreadsheetml/2006/main">
      <d:rPr>
        <d:sz val="11"/>
        <d:rFont val="Calibri"/>
      </d:rPr>
      <d:t xml:space="preserve">https://members.wto.org/crnattachments/2024/SPS/KWT/24_07433_00_x.pdf</d:t>
    </d:r>
  </si>
  <si>
    <t>This Gulf Technical regulation concerns the requirements that shall be met in the Chami (Sour Milk Curd) according to the description contained in item 1.3 of this standard, which is intended for direct human consumption.</t>
  </si>
  <si>
    <t>040610 - Fresh cheese "unripened or uncured cheese", incl. whey cheese, and curd</t>
  </si>
  <si>
    <t>67.100.10 - Milk and processed milk products</t>
  </si>
  <si>
    <d:r xmlns:d="http://schemas.openxmlformats.org/spreadsheetml/2006/main">
      <d:rPr>
        <d:sz val="11"/>
        <d:rFont val="Calibri"/>
      </d:rPr>
      <d:t xml:space="preserve">https://members.wto.org/crnattachments/2024/TBT/ARE/24_07425_00_e.pdf
https://members.wto.org/crnattachments/2024/TBT/ARE/24_07425_00_x.pdf</d:t>
    </d:r>
  </si>
  <si>
    <t>Public consultation on the proposed Gene Technology Amendment Bill </t>
  </si>
  <si>
    <t>The National Gene Technology Scheme (the Scheme) is a collaboration between all Australian governments, supporting a nationally consistent regulatory system for gene technology in Australia. It is designed to protect the health and safety of people, and the environment, from the risks associated with gene technology. Periodic reviews of the Scheme have been undertaken since its commencement in 2001. The Gene Technology Act 2000, Gene Technology Regulations 2001 and corresponding state and territory legislation ensure consistent national coverage for the regulation of GMOs in Australia. The attached Exposure Draft: Gene Technology Amendment Bill and associated consultation document outline proposed changes to the regulation of GMOs following the Third Review of the Scheme (the Review). In response to the final Third Review report, a number of policy options were considered to implement the recommendations of the Review. A preferred regulatory model was identified, where dealings with GMOs would be classified into authorisation pathways according to the level of risk they pose, a model referred to as the risk-tiering framework agreed to by all Australian Governments.</t>
  </si>
  <si>
    <t>Organisms that have been modified through the use of certain gene technology (Genetically Modified Organisms - GMOs)</t>
  </si>
  <si>
    <t>Protection of human health or safety (TBT); Protection of animal or plant life or health (TBT); Protection of the environment (TBT); Other (TBT)</t>
  </si>
  <si>
    <d:r xmlns:d="http://schemas.openxmlformats.org/spreadsheetml/2006/main">
      <d:rPr>
        <d:sz val="11"/>
        <d:rFont val="Calibri"/>
      </d:rPr>
      <d:t xml:space="preserve">https://consultations.health.gov.au/best-practice-regulation/amendments-to-the-gene-technology-act-200/supporting_documents/Exposure%20Draft%20Gene%20Technology%20Amendment%20Bill%202024.pdf</d:t>
    </d:r>
  </si>
  <si>
    <t>UAE GCC Technical Regulation for Emmental Cheese</t>
  </si>
  <si>
    <t>This Gulf Standard applies to Emmental cheese intended for direct consumption or further processing in conformity with the description in this Standard.</t>
  </si>
  <si>
    <t>040690 - Cheese (excl. fresh cheese, incl. whey cheese, curd, processed cheese, blue-veined cheese and other cheese containing veins produced by "Penicillium roqueforti", and grated or powdered cheese)</t>
  </si>
  <si>
    <d:r xmlns:d="http://schemas.openxmlformats.org/spreadsheetml/2006/main">
      <d:rPr>
        <d:sz val="11"/>
        <d:rFont val="Calibri"/>
      </d:rPr>
      <d:t xml:space="preserve">https://members.wto.org/crnattachments/2024/TBT/ARE/24_07397_00_e.pdf
https://members.wto.org/crnattachments/2024/TBT/ARE/24_07397_01_e.pdf</d:t>
    </d:r>
  </si>
  <si>
    <t>TheDraftFood Safety and Standards (Import) Amendment Regulations, 2024 is related to Reference of Methods of Analysis and Signing Authority for primary and appeal samples in Food Safety and Standards (Import) Regulations</t>
  </si>
  <si>
    <d:r xmlns:d="http://schemas.openxmlformats.org/spreadsheetml/2006/main">
      <d:rPr>
        <d:sz val="11"/>
        <d:rFont val="Calibri"/>
      </d:rPr>
      <d:t xml:space="preserve">https://members.wto.org/crnattachments/2024/TBT/IND/24_07435_00_x.pdf</d:t>
    </d:r>
  </si>
  <si>
    <t>Amendment to the Public Health (Tobacco and Other Products) Regulations 2024</t>
  </si>
  <si>
    <t>Further to notification G/TBT/N/AUS/156, the Public Health (Tobacco and Other Products) Act 2023 (the Act)came into effect on 1 April 2024. The Act provides for the implementation through the Public Health (Tobacco and Other Products) Regulations 2024 of requirements regarding the appearance of tobacco products, aiming to reduce the attractiveness and appeal of tobacco products to consumers.An amendment to the Public Health (Tobacco and Other Products) Regulations 2024 is proposed to require on-product health messages on individual factory-made cigarettes. The proposed amendment would require that a cigarette that contains a filter must display an on‑product health message.Key changes to the RegulationsThe following changes are proposed: The detailed requirements for on-product health messages would be contained in Chapter 3.A series of eight on-product health messages would be prescribed.A prescribed message must be printed on the tipping/filter paper of individual cigarettes that have a filter and duplicated on directly opposite sides of the cigarette.Each of the prescribed messages should be included as nearly as possible in equal numbers, with compliance to be assessed over a random sample of four cartons.A phase-in transition period for manufacturers and retailers to become compliant with the new regulations as follows:Commencement of Regulations (proposed): Late 2024Transitional period for manufacturer compliance: Late 2024 – 31 March 2025Sell-through period for retailers (3 months): 1 April 2025 – 30 June 2025On-product health messages required in retail settings: 1 July 2025The objective and rationale for this amendment is consistent with those outlined in G/TBT/N/AUS/156. The introduction of on-product health messages is in line with the Guidelines for implementation of Article 11 of the WHO Framework Convention on Tobacco Control, which states that parties should consider requiring health warnings and messages to be printed on individual cigarettes.Comments on the proposed amendments should be sent to the Australian TBT Enquiry Point via TBT.Enquiry@dfat.gov.au</t>
  </si>
  <si>
    <d:r xmlns:d="http://schemas.openxmlformats.org/spreadsheetml/2006/main">
      <d:rPr>
        <d:sz val="11"/>
        <d:rFont val="Calibri"/>
      </d:rPr>
      <d:t xml:space="preserve">Federal Register of Legislation - Public Health (Tobacco and Other Products) Act 2023: https://www.legislation.gov.au/C2023A00118/latest/text 
Federal Register of Legislation - Public Health (Tobacco and Other Products) Regulations 2024: https://www.legislation.gov.au/F2024L00415/asmade/text
Public consultation page for proposed amendments: https://consultations.health.gov.au/atodb/public-health-amendment-regulations/ 
</d:t>
    </d:r>
  </si>
  <si>
    <t>Ministerial Decision number 1445 of 17 October 2024 (France)</t>
  </si>
  <si>
    <t>Decision to ban poultry meat (fresh, chilled, frozen and processed) of all types from Finistère, France due to an outbreak of highly pathogenic avian influenza.</t>
  </si>
  <si>
    <t>Meat and edible offal of the poultry of heading 01.05, fresh, chilled or frozen (HS code(s): 0207); Meat, meat products and other animal produce (ICS code(s): 67.120)</t>
  </si>
  <si>
    <t>67.120 - Meat, meat products and other animal produce</t>
  </si>
  <si>
    <t>Animal diseases; Food safety; Animal health; Human health; Pest- or Disease- free Regions / Regionalization</t>
  </si>
  <si>
    <d:r xmlns:d="http://schemas.openxmlformats.org/spreadsheetml/2006/main">
      <d:rPr>
        <d:sz val="11"/>
        <d:rFont val="Calibri"/>
      </d:rPr>
      <d:t xml:space="preserve">https://members.wto.org/crnattachments/2024/SPS/KWT/24_07387_00_x.pdf</d:t>
    </d:r>
  </si>
  <si>
    <t>Ministerial Decision number 1443 of 17 October 2024 (New Zealand)</t>
  </si>
  <si>
    <t>Decision to ban molluscs (fresh, chilled, frozen and processed) of all types from New Zealand due to detection of Perkinsus olseni</t>
  </si>
  <si>
    <t>Fish and crustaceans, molluscs and other aquatic invertebrates (HS code(s): 03); Fish and fishery products (ICS code(s): 67.120.30)</t>
  </si>
  <si>
    <t>67.120.30 - Fish and fishery products</t>
  </si>
  <si>
    <d:r xmlns:d="http://schemas.openxmlformats.org/spreadsheetml/2006/main">
      <d:rPr>
        <d:sz val="11"/>
        <d:rFont val="Calibri"/>
      </d:rPr>
      <d:t xml:space="preserve">https://members.wto.org/crnattachments/2024/SPS/KWT/24_07432_00_x.pdf</d:t>
    </d:r>
  </si>
  <si>
    <t>Ministerial Decisions number 1444 and 1442 of 17 October 2024 (United states of America)</t>
  </si>
  <si>
    <t>Decisions to ban and ban lift poultry meat (fresh, chilled, frozen and processed) of all types from certain counties in the United States of America due to an outbreak and end of outbreak of highly pathogenic avian influenza.</t>
  </si>
  <si>
    <d:r xmlns:d="http://schemas.openxmlformats.org/spreadsheetml/2006/main">
      <d:rPr>
        <d:sz val="11"/>
        <d:rFont val="Calibri"/>
      </d:rPr>
      <d:t xml:space="preserve">https://members.wto.org/crnattachments/2024/SPS/KWT/24_07386_00_x.pdf
https://members.wto.org/crnattachments/2024/SPS/KWT/24_07386_01_x.pdf</d:t>
    </d:r>
  </si>
  <si>
    <t>Draft Decree of Minister of Industry on Mandatory Implementation of Indonesia National Standard for Calcium carbide</t>
  </si>
  <si>
    <t>Addendum     of    Mandatory Implementation    of     Indonesia     National     Standard     under G/TBT/N/IDN/76/Add.1 dated 13 February 2014 for Regulation of Minister of Industry No. 65/M-IND/PER/12/2013 concerning Mandatory Implementation of SNI for Calsium Carbide,  has  been revoked  and  replaced by  Regulation  of Minister  of  Industry No. 13 Year 2024 concerning  Mandatory Implementation  of  Indonesia National  Standard  for  Calcium Carbide.The Regulation covers  the issuance of SNI certificate using type 5 certification scheme, production process assessment and implementation of ISO 9001:2015 and including  product quality testing based on SNI 2861:2021 for Calcium Carbide (HS Codes: 2849.10.00). Domestic or imported calcium carbide product that has been produced before this Ministerial Regulation comes into effect can still be distributed up to a maximum of 12 (twelve) months from the date of enforcement. </t>
  </si>
  <si>
    <t>HS. 2849.10.00.00</t>
  </si>
  <si>
    <t>284910 - Carbides of calcium, whether or not chemically defined; 284910 - Carbides of calcium, whether or not chemically defined</t>
  </si>
  <si>
    <t>71.060 - Inorganic chemicals; 71.060 - Inorganic chemicals</t>
  </si>
  <si>
    <d:r xmlns:d="http://schemas.openxmlformats.org/spreadsheetml/2006/main">
      <d:rPr>
        <d:sz val="11"/>
        <d:rFont val="Calibri"/>
      </d:rPr>
      <d:t xml:space="preserve">https://members.wto.org/crnattachments/2024/TBT/IDN/final_measure/24_07392_00_x.pdf</d:t>
    </d:r>
  </si>
  <si>
    <t>UAE GCC Technical requirements for the production of bread</t>
  </si>
  <si>
    <t>This Gulf technical regulation is concerned with the requirements that shall be met in wheat flour bread, and does not include other grain flour bread and other types not specified in this standard and types of bread used for special dietary.</t>
  </si>
  <si>
    <t>Food products in general (ICS code(s): 67.040)</t>
  </si>
  <si>
    <d:r xmlns:d="http://schemas.openxmlformats.org/spreadsheetml/2006/main">
      <d:rPr>
        <d:sz val="11"/>
        <d:rFont val="Calibri"/>
      </d:rPr>
      <d:t xml:space="preserve">https://members.wto.org/crnattachments/2024/TBT/ARE/24_07411_00_e.pdf
https://members.wto.org/crnattachments/2024/TBT/ARE/24_07411_00_x.pdf</d:t>
    </d:r>
  </si>
  <si>
    <t>Draft Decree of Minister of Industry on Mandatory Implementation of Indonesian National Standard for Thermal Insulation Materials, Sound Absorption and Fire Resistant Made of Mineral Wool</t>
  </si>
  <si>
    <t>Addendum of Mandatory Implementation of Indonesia National Standard under G/TBT/N/IDN/130 dated 11 February 2021 for Draft Decree of Minister of Industry on Mandatory Implementation of Indonesian National Standard forThermal Insulation Materials, Sound Absorption and Fire Resistant Made of Mineral Wool, has been replaced by Ministry of Industry Republic Indonesia has issued Regulation of Ministry of Industry No. 14 Year 2024 on Mandatory Implementation of Indonesian National Standard for Thermal Insulation Materials, Sound Absorption and Fire Resistant Made of Mineral Wool.The Regulation covers the issuance of SNI certificate using type 5 certification scheme, production process assessment and implementation of ISO 9001:2015 and including product quality testing based on SNI 8421:2017 and SNI 8421:2017/ Amd.1:2020  for Thermal Insulation Materials, Sound Absorption and Fire Resistant Made of Mineral Wool  (HS Codes: 6806.10.00). Domestic or imported mineral wool product that has been produced before this Ministerial Regulation comes into effect can still be distributed up to a maximum of 12 (twelve) months from the date of enforcement.</t>
  </si>
  <si>
    <t>Thermal Insulation Materials, Sound Absorption and Fire Resistant Made of Mineral Wool (HS ex. 6806.10.00); Thermal And Sound Insulating Materials (ICS 81.040.30)</t>
  </si>
  <si>
    <t>680610 - Slag-wool, rock-wool and similar mineral wools, incl. intermixtures thereof, in bulk, sheets or rolls; 680610 - Slag-wool, rock-wool and similar mineral wools, incl. intermixtures thereof, in bulk, sheets or rolls</t>
  </si>
  <si>
    <t>81.040.30 - Glass products; 81.040.30 - Glass products</t>
  </si>
  <si>
    <d:r xmlns:d="http://schemas.openxmlformats.org/spreadsheetml/2006/main">
      <d:rPr>
        <d:sz val="11"/>
        <d:rFont val="Calibri"/>
      </d:rPr>
      <d:t xml:space="preserve">https://members.wto.org/crnattachments/2024/TBT/IDN/final_measure/24_07393_00_x.pdf</d:t>
    </d:r>
  </si>
  <si>
    <t>Resolución 15141 del 23 de octubre de 2024 "Por la cual se establecen los requisitos y condiciones para la producción, importación, exportación y almacenamiento de semillas producto del mejoramiento genético para la investigación, comercialización y siembra en el país, así como el registro de las Unidades de Evaluación Agronómica y/o Unidades de Investigación en Fitomejoramiento y se dictan otras disposiciones" (Resolution No. 15141 of 23 October 2024 establishing requirements and conditions for the production, importation, exportation and storage of genetically improved seeds for research, marketing and sowing in the country, and the registration of agronomic assessment units and/or plant breeding research units, and introducing other provisions) The Republic of Colombia hereby notifies that Resolution No. 00015141 of 23 October 2024 establishing requirements and conditions for the production, importation, exportation and storage of genetically improved seeds for research, marketing and sowing in the country, and the registration of agronomic assessment units and/or plant breeding research units, and introducing other provisions, has been issued, and was published in Official Journal No. 52.918 of 23 October 2024, the date of its entry into force. The Resolution also repeals ICA Resolutions No. 2228 of 1983, No. 3168 of 2015 and No. 3888 of 2015, and all conflicting provisions. https://www.ica.gov.co/getattachment/f6795834-cf0e-4284-8ccd-d353b93c6240/202400015141.aspx https://members.wto.org/crnattachments/2024/SPS/COL/24_07385_00_s.pdf</t>
  </si>
  <si>
    <t>Oil seeds and oleaginous fruits; miscellaneous grains, seeds and fruit; industrial or medicinal plants; straw and fodder (HS code(s): 12; Food technology (ICS code: 67)</t>
  </si>
  <si>
    <t>12 - OIL SEEDS AND OLEAGINOUS FRUITS; MISCELLANEOUS GRAINS, SEEDS AND FRUIT; INDUSTRIAL OR MEDICINAL PLANTS; STRAW AND FODDER; 12 - OIL SEEDS AND OLEAGINOUS FRUITS; MISCELLANEOUS GRAINS, SEEDS AND FRUIT; INDUSTRIAL OR MEDICINAL PLANTS; STRAW AND FODDER</t>
  </si>
  <si>
    <t>Plant health; Adoption/publication/entry into force of reg.; Seeds; Biotechnology; Biotechnology; Seeds; Plant health</t>
  </si>
  <si>
    <d:r xmlns:d="http://schemas.openxmlformats.org/spreadsheetml/2006/main">
      <d:rPr>
        <d:sz val="11"/>
        <d:rFont val="Calibri"/>
      </d:rPr>
      <d:t xml:space="preserve">https://members.wto.org/crnattachments/2024/SPS/COL/24_07385_00_s.pdf
https://www.ica.gov.co/getattachment/f6795834-cf0e-4284-8ccd-d353b93c6240/202400015141.aspx</d:t>
    </d:r>
  </si>
  <si>
    <t>TheDraftFood Safety and Standards (Food Products Standards and Food Additives) Amendment Regulations, 2024 is related to fatty acid composition of milk fat extracted from milk and milk products, Standards for fermented milk products, Interesterified vegetable fat/Oil, Fat Spread, Haleem, garam masala, dried peppermint, Appendix A and Appendix C.</t>
  </si>
  <si>
    <t>040590 - Fats and oils derived from milk, and dehydrated butter and ghee (excl. natural butter, recombined butter and whey butter)</t>
  </si>
  <si>
    <d:r xmlns:d="http://schemas.openxmlformats.org/spreadsheetml/2006/main">
      <d:rPr>
        <d:sz val="11"/>
        <d:rFont val="Calibri"/>
      </d:rPr>
      <d:t xml:space="preserve">https://members.wto.org/crnattachments/2024/TBT/IND/24_07438_00_x.pdf
Dr Alka Rao
Advisor (Regulations
 Science and Standards)
Food Safety and Standards Authority of India (FSSAI)
Ministry of Health and Family Welfare
FDA Bhawan
Kotla Road
New Delhi – 110002
Tel: 011-23667293
Email: spstbt.enqpt@fssai.gov.in  
Website: http://www.fssai.gov.in  
</d:t>
    </d:r>
  </si>
  <si>
    <t>The Draft Food Safety and Standards (Prohibition and Restrictions on Sales) Amendment Regulations, 2024.  </t>
  </si>
  <si>
    <t>Draft Food Safety and Standards (Prohibition and Restrictions on Sales) Amendment Regulations, 2024 for  omission of provision related to restriction on the sale of Sal-seed fat.</t>
  </si>
  <si>
    <d:r xmlns:d="http://schemas.openxmlformats.org/spreadsheetml/2006/main">
      <d:rPr>
        <d:sz val="11"/>
        <d:rFont val="Calibri"/>
      </d:rPr>
      <d:t xml:space="preserve">https://members.wto.org/crnattachments/2024/TBT/IND/24_07439_00_x.pdf</d:t>
    </d:r>
  </si>
  <si>
    <t>Draft Regulatory Guide: Qualification of Fiber-Optic Cables, Connections, and Optical Fiber Splices for Use in Safety Systems for Production and Utilization Facilities</t>
  </si>
  <si>
    <t>Draft guide; request for comment - The U.S. Nuclear Regulatory Commission (NRC) is issuing for public comment a draft Regulatory Guide (DG), DG-1427, “Qualification of Fiber-Optic Cables, Connections, and Optical Fiber Splices for Use in Safety Systems for Production and Utilization Facilities.” DG-1427 is newly proposed Revision 0 of Regulatory Guide (RG) 1.257 and describes an approach that is acceptable to the staff of the NRC for use in complying with NRC regulations that address the environmental qualification of fiber-optic cables, connections, and optical fiber splices in safety systems in production and utilization facilities.</t>
  </si>
  <si>
    <t>Fiber-optic cables, connections, and optical fiber splices; nuclear power plants. Safety (ICS code(s): 27.120.20); Fibres and cables (ICS code(s): 33.180.10); Fibre optic interconnecting devices (ICS code(s): 33.180.20)</t>
  </si>
  <si>
    <t>27.120.20 - Nuclear power plants. Safety; 33.180.10 - Fibres and cables; 33.180.20 - Fibre optic interconnecting devices</t>
  </si>
  <si>
    <d:r xmlns:d="http://schemas.openxmlformats.org/spreadsheetml/2006/main">
      <d:rPr>
        <d:sz val="11"/>
        <d:rFont val="Calibri"/>
      </d:rPr>
      <d:t xml:space="preserve">https://members.wto.org/crnattachments/2024/TBT/USA/24_07384_00_e.pdf
https://members.wto.org/crnattachments/2024/TBT/USA/24_07384_01_e.pdf</d:t>
    </d:r>
  </si>
  <si>
    <t>Draft Decree of Minister of Industry on Mandatory Implementation of Indonesian National Standard for Portable Fire Extinguishers</t>
  </si>
  <si>
    <t>Ministry of Industry Republic Indonesia has issued Regulation of Ministry of Industry No. 17 Year 2024 on Mandatory Implementation of Indonesian National Standard for Portable Fire Extinguishers. The regulation covers the issuance of SNI certificate using type 5 certification scheme, production process assessment and implementation of ISO 9001:2015, including product quality testing based on SNI 180-1:2022 Portable Fire Extinguishers (HS Codes: 8424.10.90). </t>
  </si>
  <si>
    <t>HS Ex 8424.10.10 and Ex 8424.10.90</t>
  </si>
  <si>
    <t>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 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t>
  </si>
  <si>
    <t>Consumer information, labelling (TBT); Prevention of deceptive practices and consumer protection (TBT); Protection of human health or safety (TBT); Other (TBT)</t>
  </si>
  <si>
    <d:r xmlns:d="http://schemas.openxmlformats.org/spreadsheetml/2006/main">
      <d:rPr>
        <d:sz val="11"/>
        <d:rFont val="Calibri"/>
      </d:rPr>
      <d:t xml:space="preserve">https://members.wto.org/crnattachments/2024/TBT/IDN/final_measure/24_07396_00_x.pdf</d:t>
    </d:r>
  </si>
  <si>
    <t>Regulation of Minister of Industry on Mandatory Implementation of Indonesian National Standard for Insulating Glass</t>
  </si>
  <si>
    <t>Regulation of Minister of Industry No. 12 Year 2024 on Mandatory Implementation of Indonesian National Standard for Insulating Glass product produced nationally or imported, distributed, and marketed in Indonesia shall conform to SNI requirements. All Producers who produce these products shall perform compliance to those requirements, proven by having certificate SNI and SNI Marking product (SPPT - SNI). The product certificate for SNI marking shall be issued by product certification bodies that have been accredited by KAN and appointed by the Minister of Industry.Directorate of Cement, Ceramic and Processing of Non-metal Material Industry, Ministry of Industry is the responsible institution for the implementation of this decree and shall provide a technical guidance of the decree, which covers procedure of product certification and SNI Marking.Products which are distributed in domestic market that originated domestically and imported shall meet the requirements consisted in:SNI ISO 20492-2:2014 for insulation glass used in buildingsSNI 8801:2019 for insulation glass used in room and refrigerators SNI 8822:2019 for insulation glass used in railways facilities </t>
  </si>
  <si>
    <t>Insulation Glass (HS Code 7008.00.00 and ex. 7007.11.90)</t>
  </si>
  <si>
    <t>81.040 - Glass</t>
  </si>
  <si>
    <d:r xmlns:d="http://schemas.openxmlformats.org/spreadsheetml/2006/main">
      <d:rPr>
        <d:sz val="11"/>
        <d:rFont val="Calibri"/>
      </d:rPr>
      <d:t xml:space="preserve">https://members.wto.org/crnattachments/2024/TBT/IDN/24_07391_00_x.pdf</d:t>
    </d:r>
  </si>
  <si>
    <d:r xmlns:d="http://schemas.openxmlformats.org/spreadsheetml/2006/main">
      <d:rPr>
        <d:sz val="11"/>
        <d:rFont val="Calibri"/>
      </d:rPr>
      <d:t xml:space="preserve">https://members.wto.org/crnattachments/2024/TBT/ARE/24_07397_01_e.pdf
https://members.wto.org/crnattachments/2024/TBT/ARE/24_07397_00_e.pdf</d:t>
    </d:r>
  </si>
  <si>
    <t>Draft Decree of Ministry of Industry on Mandatory Implementation of Indonesia National Standard for steel wire of prestressed concrete for concrete construction; SNI 07-1154-1989, SNI 07-1155-1989, SNI 07-3651.3-1995</t>
  </si>
  <si>
    <t>Addendum     of    Mandatory Implementation    of     Indonesia     National     Standard     under G/TBT/N/IDN/43/Add.3 dated 31 January 2018 for Regulation of Minister of Industry No. 28/M-IND/PER/7/2017 concerning Mandatory Implementation of SNI for Steel Wire of Pre-stressed Concrete for Concrete Construction, has been revoked and replaced by Regulation of Minister of Industry No. 15 Year 2024 concerning Mandatory Implementation of Indonesia National Standard for Steel Wire of Pre-stressed Concrete for Concrete Construction.The Regulation covers the issuance of SNI certificate using type 5 certification scheme, production process assessment and implementation of ISO 9001:2015, including product quality testing basedon : SNI 1154:2016 and SNI 154:2016/Amd1:2019 for Uncoated Seven Steel Wire for Prestressed Concrete (Ex.7312.10.91, Ex. 7312.10.99)SNI 1155:2016 and SNI 1155:2016/Amd1:2019 for Uncoated Steel Wire for Prestressed Concrete (Ex. 7217.10.33, Ex. 7217.10.39, Ex. 7229.20.00, Ex. 7229.90.21, Ex. 7229.90.29, Ex. 7229.90.99)SNI 7701:2016 and SNI 7701:2016/Amd1:2019 on Tempered and Quenched Steel Wire for Prestressed Concrete (Ex. 7217.10.22, Ex. 7217.10.29, Ex. 7229.20.00, Ex. 7229.90.99)Domestic or imported Steel Wire of Pre-stressed Concrete for Concrete Construction product that has been produced before this Ministerial Regulation comes into effect can still be distributed up to a maximum of 12 (twelve) months from the date of enforcement.</t>
  </si>
  <si>
    <t xml:space="preserve">1. Uncoated seven strainless steel wire for prestressed concrete reinforcement - SNI 07-1154-1989 - HS 7312.10.10.00;  7312.10.90.00 (only for steel wire of prestressed concrete)  ;
2. Uncoated strainless steel wire for prestressed concrete reinforcement;  SNI 07-1155-1989;  HS 7217.10.31.00;  7217.10.39.00;  7217.90.10.00;  (only for steel wire of prestressed concrete) ;
3. Prestressed concrete steel. Part 3: Quench and tempered wire;  SNI 07-3651.3-1995;  HS 7228.60.90.00;  7228.80.19.00;  7229.90.00.90;  (only for steel wire of prestressed concrete) ;
 ;
</t>
  </si>
  <si>
    <t>721790 - Wire of iron or non-alloy steel, in coils, plated or coated (excl. plated or coated with base metals, and bars and rods); 721710 - Wire of iron or non-alloy steel, in coils, not plated or coated, whether or not polished (excl. bars and rods); 722860 - 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 722880 - Hollow drill bars and rods, of alloy or non-alloy steel; 722990 - Wire of alloy steel other than stainless, in coils (excl. bars and rods and wire of silico-manganese steel); 731210 - Stranded wire, ropes and cables, of iron or steel (excl. electrically insulated products and twisted fencing wire and barbed wire); 722860 - 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 721790 - Wire of iron or non-alloy steel, in coils, plated or coated (excl. plated or coated with base metals, and bars and rods); 722990 - Wire of alloy steel other than stainless, in coils (excl. bars and rods and wire of high-speed steel or of silico-manganese steel); 722880 - Hollow drill bars and rods, of alloy or non-alloy steel; 731210 - Stranded wire, ropes and cables, of iron or steel (excl. electrically insulated products and twisted fencing wire and barbed wire); 721710 - Wire of iron or non-alloy steel, in coils, not plated or coated, whether or not polished (excl. bars and rods)</t>
  </si>
  <si>
    <t>77.140 - Iron and steel products; 77.140 - Iron and steel products</t>
  </si>
  <si>
    <d:r xmlns:d="http://schemas.openxmlformats.org/spreadsheetml/2006/main">
      <d:rPr>
        <d:sz val="11"/>
        <d:rFont val="Calibri"/>
      </d:rPr>
      <d:t xml:space="preserve">https://members.wto.org/crnattachments/2024/TBT/IDN/final_measure/24_07394_00_x.pdf</d:t>
    </d:r>
  </si>
  <si>
    <t>Requirements of Nutritional Labelling</t>
  </si>
  <si>
    <t xml:space="preserve">On 13 November 2018, The Kingdom of Saudi Arabia notified the WTO (G/TBT/N/SAU/1095) on this regulation. This addendum includes new definitions and modifications as shown in the following: _x000D_
- Complementary References (provision no.2)._x000D_
- Definitions (provision no.3)._x000D_
- General requirements (provision no.4)._x000D_
- Supplementary (additional) Nutrition Information (provision no.6).Please note that the link to the modified measure has been included in this addendum.</t>
  </si>
  <si>
    <t>210220 - Inactive yeasts; other dead single-cell micro-organisms (excl. packaged as medicaments); 210210 - Active yeasts; 2102 - Yeasts, active or inactive; other dead single-cell micro-organisms, prepared baking powders (excl. single-cell micro-organisms packaged as medicaments); 190120 - 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 190120 - 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 2102 - Yeasts, active or inactive; other dead single-cell micro-organisms, prepared baking powders (excl. single-cell micro-organisms packaged as medicaments); 210210 - Active yeasts; 210220 - Inactive yeasts; other dead single-cell micro-organisms (excl. packaged as medicaments)</t>
  </si>
  <si>
    <t>67.040 - Food products in general; 67.060 - Cereals, pulses and derived products; 67.060 - Cereals, pulses and derived products; 67.060 - Cereals, pulses and derived products; 67.220.20 - Food additives; 67.220.20 - Food additives; 67.220.20 - Food additives</t>
  </si>
  <si>
    <t>Labelling; Nutrition information; Food standards; Labelling; Labelling; Nutrition information; Labelling</t>
  </si>
  <si>
    <d:r xmlns:d="http://schemas.openxmlformats.org/spreadsheetml/2006/main">
      <d:rPr>
        <d:sz val="11"/>
        <d:rFont val="Calibri"/>
      </d:rPr>
      <d:t xml:space="preserve">https://members.wto.org/crnattachments/2024/TBT/SAU/modification/24_07351_00_x.pdf
This addendum includes new definitions and modifications as shown in the following: 
-_x0009_Complementary References (provision no.2).
-_x0009_Definitions (provision no.3).
-_x0009_General requirements (provision no.4).
-_x0009_Supplementary (additional) Nutrition Information (provision no.6).
</d:t>
    </d:r>
  </si>
  <si>
    <t>190120 - 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 2102 - Yeasts, active or inactive; other dead single-cell micro-organisms, prepared baking powders (excl. single-cell micro-organisms packaged as medicaments); 210210 - Active yeasts; 210220 - Inactive yeasts; other dead single-cell micro-organisms (excl. packaged as medicaments); 190120 - 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 2102 - Yeasts, active or inactive; other dead single-cell micro-organisms, prepared baking powders (excl. single-cell micro-organisms packaged as medicaments); 210210 - Active yeasts; 210220 - Inactive yeasts; other dead single-cell micro-organisms (excl. packaged as medicaments)</t>
  </si>
  <si>
    <t>Food standards; Labelling; Nutrition information; Labelling; Labelling; Nutrition information; Labelling</t>
  </si>
  <si>
    <t> GCC Technical Regulation for Maximum residue limits (MRLs) for heavy metals in food</t>
  </si>
  <si>
    <t>  This GCC Technical regulation is concerned with the maximum residue limits (MRLs) for heavy metals in foods (arsenic, arsenic (inorganic), mercury, cadmium, lead, and tin).</t>
  </si>
  <si>
    <t>Food standards; Maximum residue limits (MRLs)</t>
  </si>
  <si>
    <d:r xmlns:d="http://schemas.openxmlformats.org/spreadsheetml/2006/main">
      <d:rPr>
        <d:sz val="11"/>
        <d:rFont val="Calibri"/>
      </d:rPr>
      <d:t xml:space="preserve">https://members.wto.org/crnattachments/2024/TBT/ARE/24_07374_00_e.pdf</d:t>
    </d:r>
  </si>
  <si>
    <t>Requirements for Health and Nutrition Claims on Food Products</t>
  </si>
  <si>
    <t xml:space="preserve">On 15 June 2022, Kingdom of Saudi Arabia notified the WTO (G/TBT/N/SAU/1248) on this regulation. This addendum includes modifications as shown in the following: _x000D_
- Complementary References (provision no.2)._x000D_
- List of not Permitted nutrition and health Claims to be Used on Foods (provision no.5)._x000D_
- Editorial amendment (Table 1).Please note that the link to the modified measure has been included in this addendum.</t>
  </si>
  <si>
    <t>67.040 - Food products in general; 67.040 - Food products in general; 67.040 - Food products in general</t>
  </si>
  <si>
    <d:r xmlns:d="http://schemas.openxmlformats.org/spreadsheetml/2006/main">
      <d:rPr>
        <d:sz val="11"/>
        <d:rFont val="Calibri"/>
      </d:rPr>
      <d:t xml:space="preserve">https://members.wto.org/crnattachments/2024/TBT/SAU/modification/24_07358_00_x.pdf
This addendum includes modifications as shown in the following: 
-_x0009_Complementary References (provision no.2).
-_x0009_List of not Permitted nutrition and health Claims to be Used on Foods (provision no.5).
-_x0009_Editorial amendment (Table 1).
</d:t>
    </d:r>
  </si>
  <si>
    <t>190120 - 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 2102 - Yeasts, active or inactive; other dead single-cell micro-organisms, prepared baking powders (excl. single-cell micro-organisms packaged as medicaments); 210210 - Active yeasts; 210220 - Inactive yeasts; other dead single-cell micro-organisms (excl. packaged as medicaments); 2102 - Yeasts, active or inactive; other dead single-cell micro-organisms, prepared baking powders (excl. single-cell micro-organisms packaged as medicaments); 210210 - Active yeasts; 210220 - Inactive yeasts; other dead single-cell micro-organisms (excl. packaged as medicaments); 190120 - 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t>
  </si>
  <si>
    <t>67.040 - Food products in general; 67.060 - Cereals, pulses and derived products; 67.060 - Cereals, pulses and derived products; 67.220.20 - Food additives; 67.220.20 - Food additives</t>
  </si>
  <si>
    <t>Nutrition information; Labelling; Nutrition information; Labelling; Food standards; Nutrition information; Labelling</t>
  </si>
  <si>
    <d:r xmlns:d="http://schemas.openxmlformats.org/spreadsheetml/2006/main">
      <d:rPr>
        <d:sz val="11"/>
        <d:rFont val="Calibri"/>
      </d:rPr>
      <d:t xml:space="preserve">https://members.wto.org/crnattachments/2024/TBT/YEM/modification/24_07351_00_x.pdf
This addendum includes new definitions and modifications as shown in the following: 
-_x0009_Complementary References (provision no.2).
-_x0009_Definitions (provision no.3).
-_x0009_General requirements (provision no.4).
-_x0009_Supplementary (additional) Nutrition Information (provision no.6).
</d:t>
    </d:r>
  </si>
  <si>
    <t>Draft Commission Delegated Regulation amending Commission Delegated Regulation (EU) 2023/2534 as regards information on the repairability index for household tumble dryers </t>
  </si>
  <si>
    <t>This draft Commission Regulation amends the recently approved Regulation (EU) 2023/2534 on energy labelling for household tumble dryers to implement a repairability score in the energy label. Subsequently, information on repairability shall be included in the product information sheet and in the technical information of household tumble dryers.In addition, in Annex IV, references to the average final moisture content, including the calculation method, are removed. In Annex IX on verification procedure for market surveillance purposes, some redrafting has been made. </t>
  </si>
  <si>
    <t>Household tumble dryers</t>
  </si>
  <si>
    <d:r xmlns:d="http://schemas.openxmlformats.org/spreadsheetml/2006/main">
      <d:rPr>
        <d:sz val="11"/>
        <d:rFont val="Calibri"/>
      </d:rPr>
      <d:t xml:space="preserve">https://members.wto.org/crnattachments/2024/TBT/EEC/24_07371_00_e.pdf
https://members.wto.org/crnattachments/2024/TBT/EEC/24_07371_01_e.pdf</d:t>
    </d:r>
  </si>
  <si>
    <t xml:space="preserve">The purpose of this notice is to alert stakeholders that the U.S. Environmental Protection Agency (EPA) has published frequently asked questions related to the regulations implementing the American Innovation and Manufacturing Act. While the questions broadly cover topics on hydrofluorocarbons, the Act itself, and the three new programs established under the Act, the majority of these new and updated frequently asked question are related to the Technology Transitions program restrictions on the use of certain hydrofluorocarbons. The Agency has published and continues to update these frequently asked questions in the Frequent Questions on the Phasedown of Hydrofluorocarbons web area and in the existing rulemaking docket.28 October 202489 Federal Register (FR) 85535, 28 October 2024:_x000D_
https://www.govinfo.gov/content/pkg/FR-2024-10-28/html/2024-24929.htm_x000D_
https://www.govinfo.gov/content/pkg/FR-2024-10-28/pdf/2024-24929.pdf_x000D_
https://www.epa.gov/climate-hfcs-reduction/frequent-questions-phasedown-hydrofluorocarbonsThis and previous actions notified under the symbol G/TBT/N/USA/1954 are identified by Docket Number EPA-HQ-OAR-2021-0643. The Docket Folder is available from Regulations.gov at https://www.regulations.gov/docket/EPA-HQ-OAR-2021-0643/document and provides access to primary and supporting documents as well as comments received. Documents are also accessible from Regulations.gov by searching the Docket Number. </t>
  </si>
  <si>
    <d:r xmlns:d="http://schemas.openxmlformats.org/spreadsheetml/2006/main">
      <d:rPr>
        <d:sz val="11"/>
        <d:rFont val="Calibri"/>
      </d:rPr>
      <d:t xml:space="preserve">https://members.wto.org/crnattachments/2024/TBT/USA/24_07368_00_e.pdf</d:t>
    </d:r>
  </si>
  <si>
    <t>Updates to sanitary certificates for exports from Australia of wool, skins and hides</t>
  </si>
  <si>
    <t xml:space="preserve">Australia is replacing the current Export Documentation System (EXDOC) with a system called the Next Export Documentation System (NEXDOC). NEXDOC is designed to make Australia’s export documentation system more secure and responsive to changes in trade conditions._x000D_
Australia’s export documentation for wool, skins and hides will soon transition to the NEXDOC system. These goods are the next commodities to transition after dairy, which transitioned in 2021, honey and apiculture products in 2022, eggs in 2023 and fish and fish products in September 2024. _x000D_
The planned changes do not affect the agreed conditions or attestations for market access, bilaterally agreed information about the consignment details, or the department’s regulatory controls over exports. However, there are minor changes to grammar, spelling, and the location of some of the information on the certificate. In addition, the new certificates will have unique Quick Response (QR) codes. The QR codes provide consignment specific information which border officials can use to confirm authenticity of the certificate in real-time. To verify the QR code, border officials scan the code through the official’s smart phone camera._x000D_
Australia proposes the new export certificates be issued for:_x000D_
• Australian exports of wool, skins and hides.This will commence from 25 November 2024. There will be a transition period where both the old and new certificates will be in use to allow for transit time (air and sea freight) to the port of destination.</t>
  </si>
  <si>
    <t>Wool, skins and hides</t>
  </si>
  <si>
    <t>510510 - Wool, carded; 4103 - Other raw hides and skins, fresh, or salted, dried, limed, pickled or otherwise preserved, whether or not dehaired or split (excl. those of bovine animals, equine animals, sheep and lambs, those with wool on and those of goats or kids from Yemen, Mongolia or Tibet and tanned, parchment-dressed or further prepared); 4104 - Tanned or crust hides and skins of bovine "incl. buffalo" or equine animals, without hair on, whether or not split (excl. further prepared); 4105 - Tanned or crust skins of sheep or lambs, without wool on, whether or not split (excl. further prepared); 4106 - Tanned or crust hides and skins of goats or kids, pigs, reptiles and other animals, without wool on, and leather of hairless animals, whether or not split (excl. further prepared and leather of bovine and equine animals, sheep and lambs); 5101 - Wool, neither carded nor combed; 510310 - Noils of wool or of fine animal hair (excl. garnetted stock); 510320 - Waste of wool or of fine animal hair, incl. yarn waste (excl. noils and garnetted stock); 510400 - Garnetted stock of wool or of fine or coarse animal hair, neither carded nor combed; 4101 - Raw hides and skins of bovine "incl. buffalo" or equine animals, fresh, or salted, dried, limed, pickled or otherwise preserved, whether or not dehaired or split (excl. tanned, parchment-dressed or further prepared); 510521 - Wool, combed, in fragments "open tops"; 510529 - Wool, combed (excl. that in fragments "open tops"); 5106 - Carded wool yarn (excl. that put up for retail sale); 5107 - Yarn of combed wool (excl. that put up for retail sale); 5109 - Yarn of wool or fine animal hair, put up for retail sale; 5111 - Woven fabrics of carded wool or of carded fine animal hair (excl. fabrics for technical use of heading 5911); 5112 - Woven fabrics of combed wool or of combed fine animal hair (excl. fabrics for technical purposes of heading 5911); 4102 - Raw skins of sheep or lambs, fresh, or salted, dried, limed, pickled or otherwise preserved, whether or not dehaired or split (excl. those with wool on, fleeces of Astrakhan, Caracul, Persian, Broadtail or similar lambs, or of Indian, Chinese, Mongolian or Tibetan lambs and tanned, parchment-dressed or further prepared)</t>
  </si>
  <si>
    <t>59.080 - Products of the textile industry; 59.140.20 - Raw skins, hides and pelts</t>
  </si>
  <si>
    <t>Proyecto de Norma Oficial Mexicana PROY-NOM-014-ENER-2024, Eficiencia energética de motores eléctricos de corriente alterna, monofásicos, de inducción, tipo jaula de ardilla, enfriados con aire, en potencia nominal de 0.180 kW a 2.238 kW. Límites, método de prueba y marcado (Draft Mexican Official Standard PROY-NOM-014-ENER-2024: Energy efficiency of air-cooled single-phase squirrel-cage electric AC induction motors with a rated output of 0.180 kW to 2.238 kW. Limits, test method and marking) (17 pages, in Spanish)</t>
  </si>
  <si>
    <t xml:space="preserve">This draft Mexican Official Standard establishes the minimum energy efficiency values, test method, marking requirements and conformity assessment procedure applicable to single rotational frequency, continuous duty, open- or closed-loop, air-cooled, single-phase squirrel-cage electric AC induction motors with a rated output of 0.180 kW to 2.238 kW, 2, 4 or 6 poles, split-phase, capacitor-start, or with two capacitors, or connected with a permanent capacitor, which are imported, manufactured or marketed within the United Mexican States. It safeguards legitimate public interest objective IX on the use and exploitation of natural resources, as provided for in the Law on Quality Infrastructure. G/TBT/N/MEX/540 - 2 -   It does not apply to electric motors that require auxiliary or additional cooling equipment.</t>
  </si>
  <si>
    <t>Single rotational frequency, continuous duty, open- or closed-loop, air-cooled, single-phase squirrel-cage electric AC induction motors with a rated output of 0.180 kW to 2.238 kW, 2, 4 or 6 poles, split-phase, capacitor-start, or with two capacitors, or connected with a permanent capacitor.</t>
  </si>
  <si>
    <d:r xmlns:d="http://schemas.openxmlformats.org/spreadsheetml/2006/main">
      <d:rPr>
        <d:sz val="11"/>
        <d:rFont val="Calibri"/>
      </d:rPr>
      <d:t xml:space="preserve">https://members.wto.org/crnattachments/2024/TBT/MEX/24_07373_00_s.pdf</d:t>
    </d:r>
  </si>
  <si>
    <t>Publication ofRSS-248, Issue 3 — Radio Local Area Network (RLAN) Devices Operating in the 5925-7125 MHz Band</t>
  </si>
  <si>
    <t>Notice is hereby given that Innovation, Science and Economic Development Canada (ISED) has published the following document:Radio Standards Specification RSS-248, Issue 3, Radio Local Area Network (RLAN) Devices Operating in the 5925-7125 MHz Bandsets out the certification requirements for licence-exempt Radio Local Area Network (RLAN) devices operating in the 5925-7125 MHz frequency band (the 6 GHz band).</t>
  </si>
  <si>
    <t>Radiocommunications (ICS 33.060)</t>
  </si>
  <si>
    <t xml:space="preserve">Hazardous Materials: Advancing Safety of Highway, Rail, and 
Vessel Transportation</t>
  </si>
  <si>
    <t xml:space="preserve">Notice of proposed rulemaking - The Pipeline and Hazardous Materials Safety Administration (PHMSA) proposes to revise the Hazardous Materials Regulations to adopt several modal-specific amendments that would enhance the safe transportation of hazardous materials in commerce. PHMSA, in consultation with the Federal Motor Carrier Safety Administration, the Federal Railroad Administration, and the United States Coast Guard, proposes amendments identified during Departmental review and from industry petitions for rulemaking. _x000D_
</t>
  </si>
  <si>
    <t>Hazardous materials transport; Transport in general (ICS code(s): 03.220.01); Accident and disaster control (ICS code(s): 13.200); Protection against dangerous goods (ICS code(s): 13.300); Products of the chemical industry (ICS code(s): 71.100)</t>
  </si>
  <si>
    <t>03.220.01 - Transport in general; 13.200 - Accident and disaster control; 13.300 - Protection against dangerous goods; 71.100 - Products of the chemical industry</t>
  </si>
  <si>
    <d:r xmlns:d="http://schemas.openxmlformats.org/spreadsheetml/2006/main">
      <d:rPr>
        <d:sz val="11"/>
        <d:rFont val="Calibri"/>
      </d:rPr>
      <d:t xml:space="preserve">https://members.wto.org/crnattachments/2024/TBT/USA/24_07367_00_e.pdf</d:t>
    </d:r>
  </si>
  <si>
    <t>Maximum residue limits (MRLs); Food standards</t>
  </si>
  <si>
    <t>Draft Commission Regulation amending Commission Regulation (EU) 2023/826 laying down ecodesign requirements for off mode, standby mode, and networked standby energy consumption of electrical and electronic household and office equipment and Commission Regulation (EU) 2023/2533 laying down ecodesign requirements for household tumble dryers </t>
  </si>
  <si>
    <t>This draft Commission Regulation amends the recently approved Regulations (EU) 2023/2533 on ecodesign requirements for household tumble dryers and (EU) 2023/826 on low power modes of electric and electronic household and office equipment.On Regulation (EU) 2023/2533, the following changes are made: Article 13 is amended to include the dates of entry into application of Articles 7, 12(1) and 12(2), which were missing in the Regulation. In Annex I, a definition of average final moisture content is added; the definition of standby mode is modified and new definitions related to low power modes are added. In Annex II, the names of some spare parts are modified; a new spare part (motor capacitor), is added; the obligation to display, on a free access website, the repair information of spare parts whose availability is limited to professional repairers is removed; and the paragraph related to the technical information to be provided for different operation modes is redrafted for better clarity. In Annex III, references to the average final moisture content, including the calculation method, are removed. In Annex IV, some redrafting has been made to better differentiate the validity criteria from the verification criteria. On Regulation (EU) 2023/826, the following changes are made: In Annex II, grinders are better defined by adding after the word grinder, ‘used in the kitchen for the processing of food’. In Annex IV, the text which is currently under letter d) of the second paragraph is inserted as a separate paragraph after the first paragraph. The definition of ‘motor-operated building elements’ is modified to ensure that all products listed in Annex II point 6 fall under the definition. Finally, a definition of ‘control unit’ is added to clarify the definition of ‘motor-operated building elements’ that refers to the control unit. </t>
  </si>
  <si>
    <t>Household tumble dryers and electronic household and office equipment</t>
  </si>
  <si>
    <t>35.260 - Office machines; 97 - Domestic and commercial equipment. Entertainment. Sports</t>
  </si>
  <si>
    <t>Prevention of deceptive practices and consumer protection (TBT); Protection of the environment (TBT); Harmonization (TBT)</t>
  </si>
  <si>
    <d:r xmlns:d="http://schemas.openxmlformats.org/spreadsheetml/2006/main">
      <d:rPr>
        <d:sz val="11"/>
        <d:rFont val="Calibri"/>
      </d:rPr>
      <d:t xml:space="preserve">https://members.wto.org/crnattachments/2024/TBT/EEC/24_07370_00_e.pdf
https://members.wto.org/crnattachments/2024/TBT/EEC/24_07370_01_e.pdf</d:t>
    </d:r>
  </si>
  <si>
    <t>Notice of Extension of 15-Day Public Comment Period for SB 54 Plastic Pollution Prevention and Packaging Producer Responsibility Act Permanent Regulations to 4 November 2024The Department of Resources Recycling and Recovery (CalRecycle) has begun a 15-day written comment period for the proposed revisions to the SB 54 Plastic Pollution Prevention and Packaging Producer Responsibility Act Permanent Rulemaking. This 15-day written comment period follows an initial 61-day public comment period that began on 8 March 2024, and ended on 8 May 2024. On 23 April 2024, CalRecycle held a hybrid public hearing to receive public comments. CalRecycle is only required to respond to comments that address the changes made in the regulation text for this comment period. In addition, CalRecycle will only consider written comments sent to CalRecycle and received during the 15-day written comment period which began on 14 October 2024. CalRecycle is extending the public comment period, and the public comment period will now end on 4 November 2024.Written comments received by CalRecycle after the close of the public comment period are considered untimely. CalRecycle may, but is not required to, respond to untimely comments.WTO Members and their stakeholders are asked to submit comments to the USA TBT Enquiry Point. Comments received by the USA TBT Enquiry Point from WTO Members and their stakeholders by 4pmEastern Time on 4 November 2024 will be shared with CalRecycle.</t>
  </si>
  <si>
    <t>03.120 - Quality; 03.120 - Quality; 13.020 - Environmental protection; 13.020 - Environmental protection; 13.030.50 - Recycling; 13.030.50 - Recycling; 55.040 - Packaging materials and accessories; 55.040 - Packaging materials and accessories; 55.100 - Bottles. Pots. Jars; 55.100 - Bottles. Pots. Jars; 83.080 - Plastics; 83.080 - Plastics; 03.120 - Quality; 13.020 - Environmental protection; 13.030.50 - Recycling; 55.040 - Packaging materials and accessories; 55.100 - Bottles. Pots. Jars; 83.080 - Plastics</t>
  </si>
  <si>
    <t>Importation of Acer spp. (Acer buergerianumA. palmatum, and A. pseudosieboldianum) Dwarf Plants From the Republic of Korea Into the Continental United States [Docket No. APHIS-2021-0076]</t>
  </si>
  <si>
    <t>We are notifying the public that we are removing three Acer spp. (Acer buergerianumA. palmatum, and A. pseudosieboldianum) dwarf plants from the Republic of Korea from our lists of taxa of plants for planting whose importation into the United States is not authorized pending pest risk analysis, thereby allowing the importation of such Acer spp. into the continental United States, subject to certain conditions. We are taking this action in response to a request from this country and after determining that the plants can be imported, under certain conditions, without resulting in the introduction into, or the dissemination within, the United States of a plant pest. [Federal Register Vol. 89, No. 203, Monday, 21 October 2024, pp. 84110-84111]</t>
  </si>
  <si>
    <t>Acer spp. (Acer buergerianum, A. palmatum, and A. pseudosieboldianum) Dwarf Plants</t>
  </si>
  <si>
    <t>Plant health; Pests; Adoption/publication/entry into force of reg.; Plant health; Pests</t>
  </si>
  <si>
    <d:r xmlns:d="http://schemas.openxmlformats.org/spreadsheetml/2006/main">
      <d:rPr>
        <d:sz val="11"/>
        <d:rFont val="Calibri"/>
      </d:rPr>
      <d:t xml:space="preserve">https://www.regulations.gov/document/APHIS-2021-0076-0007</d:t>
    </d:r>
  </si>
  <si>
    <t>Food standards; Food standards; Food standards; Food standards</t>
  </si>
  <si>
    <t>Positive Train Control Systems</t>
  </si>
  <si>
    <t xml:space="preserve">Notice of proposed rulemaking - FRA is proposing to amend certain regulations governing 
positive train control (PTC) systems. Since 31 December 2020, by law, 
PTC systems have generally governed rail operations on PTC-mandated 
main lines, which encompass nearly 59,000 route miles today. Through 
FRA's oversight and continued engagement with the industry, FRA has 
found that its existing PTC regulations do not adequately address 
temporary situations during which PTC technology is not enabled, 
including after certain initialization failures or in cases where a PTC 
system needs to be temporarily disabled to facilitate repair, 
maintenance, infrastructure upgrades, or capital projects. FRA expects 
PTC systems to be reliable and robust, further reducing the occurrence 
of initialization failures and outages. This NPRM proposes to establish 
strict parameters and operating restrictions under which railroads may 
continue to operate safely in certain necessary scenarios when PTC 
technology is temporarily not governing rail operations. The purpose of 
this NPRM is to enable continued, safe operations and improve rail 
safety by facilitating prompt repairs, upgrades, and restoration of PTC 
system service.&gt;_x000D_
</t>
  </si>
  <si>
    <t>Train control systems;  RAILWAY OR TRAMWAY LOCOMOTIVES, ROLLING-STOCK AND PARTS THEREOF; RAILWAY OR TRAMWAY TRACK FIXTURES AND FITTINGS AND PARTS THEREOF; MECHANICAL (INCLUDING ELECTRO-MECHANICAL) TRAFFIC SIGNALLING EQUIPMENT OF ALL KINDS (HS code(s): 86); Railway engineering in general (ICS code(s): 45.020)</t>
  </si>
  <si>
    <t>86 - RAILWAY OR TRAMWAY LOCOMOTIVES, ROLLING STOCK AND PARTS THEREOF; RAILWAY OR TRAMWAY TRACK FIXTURES AND FITTINGS AND PARTS THEREOF; MECHANICAL (INCLUDING ELECTROMECHANICAL) TRAFFIC SIGNALLING EQUIPMENT OF ALL KINDS</t>
  </si>
  <si>
    <t>45.020 - Railway engineering in general</t>
  </si>
  <si>
    <d:r xmlns:d="http://schemas.openxmlformats.org/spreadsheetml/2006/main">
      <d:rPr>
        <d:sz val="11"/>
        <d:rFont val="Calibri"/>
      </d:rPr>
      <d:t xml:space="preserve">https://members.wto.org/crnattachments/2024/TBT/USA/24_07369_00_e.pdf</d:t>
    </d:r>
  </si>
  <si>
    <t>Skimmed Milk Powder Analogue</t>
  </si>
  <si>
    <t>This GSO draft technical regulation concerns the general requirement for skimmed milk analogue, intended for direct consumption or further processing, and is in conformity with the definition mentioned in item 3 of this standard. All items are compulsory (Items)</t>
  </si>
  <si>
    <t>The general requirement for skimmed milk analogue, intended for direct consumption, or further processing, is in conformity with the definition mentioned in item 3 of this standard. </t>
  </si>
  <si>
    <d:r xmlns:d="http://schemas.openxmlformats.org/spreadsheetml/2006/main">
      <d:rPr>
        <d:sz val="11"/>
        <d:rFont val="Calibri"/>
      </d:rPr>
      <d:t xml:space="preserve">https://members.wto.org/crnattachments/2024/TBT/OMN/24_07325_00_x.pdf</d:t>
    </d:r>
  </si>
  <si>
    <t>Partial Amendment of Ordinance for Enforcement of the Radio Act etc. </t>
  </si>
  <si>
    <t>In the new Ordinance for Enforcement of the Radio Act and Relevant Public Notice, the frequency band from 433.795 MHz to 434.045MHz is added to the classification of Specific low power radio station and the band is used for Tire Pressure Monitoring System (TPMS) and Remote Keyless Entry (RKE) System.The new Ordinance on Radio Equipment and Relevant Public Notice specifies the technical regulations of TPMS and RKE System.</t>
  </si>
  <si>
    <t> Tire Pressure Monitoring System and Remote Keyless Entry System</t>
  </si>
  <si>
    <t>33.060 - Radiocommunications; 83.160 - Tyres</t>
  </si>
  <si>
    <d:r xmlns:d="http://schemas.openxmlformats.org/spreadsheetml/2006/main">
      <d:rPr>
        <d:sz val="11"/>
        <d:rFont val="Calibri"/>
      </d:rPr>
      <d:t xml:space="preserve">https://members.wto.org/crnattachments/2024/TBT/JPN/24_07339_00_e.pdf</d:t>
    </d:r>
  </si>
  <si>
    <t>Edible vegetables oils -1</t>
  </si>
  <si>
    <t>This GSO draft technical regulation concerns to  the requirement of edible vegetables oils  mentioned in item 3 of this standard. </t>
  </si>
  <si>
    <t>The general requirement for edible vegetables oils .</t>
  </si>
  <si>
    <t>67.200 - Edible oils and fats. Oilseeds</t>
  </si>
  <si>
    <d:r xmlns:d="http://schemas.openxmlformats.org/spreadsheetml/2006/main">
      <d:rPr>
        <d:sz val="11"/>
        <d:rFont val="Calibri"/>
      </d:rPr>
      <d:t xml:space="preserve">https://members.wto.org/crnattachments/2024/TBT/OMN/24_07332_00_x.pdf
https://members.wto.org/crnattachments/2024/TBT/OMN/24_07332_01_x.pdf</d:t>
    </d:r>
  </si>
  <si>
    <t>Technical regulation for the biodegradable plastic products</t>
  </si>
  <si>
    <t>This regulation specifies the following: Terms and definitions, scope, objectives, supplier obligations, labelling, conformity assessment procedures, responsibilities of regulatory authorities, the authorities of market survey responsibilities, violations and penalties, general rules, transition rules, Appendix (lists, types). </t>
  </si>
  <si>
    <t>Sacks. Bags (ICS code(s): 55.080)</t>
  </si>
  <si>
    <t>55.080 - Sacks. Bags</t>
  </si>
  <si>
    <d:r xmlns:d="http://schemas.openxmlformats.org/spreadsheetml/2006/main">
      <d:rPr>
        <d:sz val="11"/>
        <d:rFont val="Calibri"/>
      </d:rPr>
      <d:t xml:space="preserve">https://members.wto.org/crnattachments/2024/TBT/KWT/24_07350_00_x.pdf</d:t>
    </d:r>
  </si>
  <si>
    <t>Draft Regulations The Producer Responsibility Obligations (Packaging and Packaging Waste) Regulations 2024 (Provisions being notified are Part 3 – Chapter 2 – Recycling Information) </t>
  </si>
  <si>
    <t>3923 Articles for the conveyance or packing of goods, of plastics; stoppers, lids, caps and other closures, of plastics, 4819 packaging made of paper and cardboard,7010 Carboys, bottles, flasks, jars, pots, phials, ampoules and other containers, of glass, of a kind used for the conveyance or packing of goods, preserving jars, stoppers, lids and other closures, of glass,6305 Sacks and bags, of a kind used for the packing of goods, of all types of textile materials8309 Stoppers, caps and lids, incl. crown corks, screw caps and pouring stoppers, capsules for bottles, threaded bungs, bung covers, seals and other packing accessoriesEx 6909 Ceramic wares for laboratory, chemical or other technical uses; ceramic troughs, tubs and similar receptacles of a kind used in agriculture; ceramic pots, jars and similar articles of a kind used for the conveyance or packaging of goods 7310 Tanks, casks, drums, cans, boxes and similar containers, for any material (other than compressed or liquefied gas), of iron or steel, of a capacity not exceeding 300 l, whether or not lined or heat-insulated, but not fitted with mechanical or thermal equipment7612 Aluminium casks, drums, cans, boxes and similar containers (including rigid or collapsible tubular containers), for any material (other than compressed or liquefied gas), of a capacity not exceeding 300 litres, whether or not lined or heat-insulated, but not fitted with mechanical or thermal equipmentEx 3919, Ex 3920, Ex 3921 – wrappings if made of plasticsEx 4804, Ex 4805, Ex 4808, Ex 4813, Ex 4823 – wrappings if made of paperTo note that the above listed products are only in scope of the labelling requirements if they are used as ‘primary packaging’ (regulation 7.1.a) or ‘shipment packaging’ (regulation 7.1.d) of the draft regulations. primary packaging, which is packaging conceived so as to constitute a sales unit to the final user or consumer at the point of purchase;Shipment packaging, which is packaging in addition to primary packaging on items which are sold online or by mail order which are either delivered direct to the purchaser or collected by the purchaser from a shop or other collection point after they have been purchased. </t>
  </si>
  <si>
    <t>3919 - Self-adhesive plates, sheets, film, foil, tape, strip and other flat shapes, of plastics, whether or not in rolls (excl. floor, wall and ceiling coverings of heading 3918); 7612 - Casks, drums, cans, boxes and similar containers, incl. rigid or collapsible tubular containers, of aluminium, for any material (other than compressed or liquefied gas), of a capacity of &lt;= 300 l, not fitted with mechanical or thermal equipment, whether or not lined or heat-insulated, n.e.s.; 7310 - Tanks, casks, drums, cans, boxes and similar containers, of iron or steel, for any material "other than compressed or liquefied gas", of a capacity of &lt;= 300 l, not fitted with mechanical or thermal equipment, whether or not lined or heat-insulated, n.e.s.; 7010 - Carboys, bottles, flasks, jars, pots, phials, ampoules and other containers, of glass, of a kind used for the conveyance or packing of goods, preserving jars, stoppers, lids and other closures, of glass (excl. glass envelopes and containers, with vacuum insulation, perfume atomizers, flasks, bottles etc. for atomizers); 6909 - Ceramic wares for laboratory, chemical or other technical uses; ceramic troughs, tubs and similar receptacles used in agriculture; ceramic pots, jars and similar articles used for the conveyance or packing of goods (excl. millstones, polishing stones, grindstones and the like of heading 6804; refractory ceramic goods; household articles; containers for shops; electrical devices, insulators and other insulating fittings); 6305 - Sacks and bags, of a kind used for the packing of goods, of all types of textile materials; 4823 - 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 8309 - Stoppers, caps and lids, incl. crown corks, screw caps and pouring stoppers, capsules for bottles, threaded bungs, bung covers, seals and other packing accessories, of base metal; 4819 - Cartons, boxes, cases, bags and other packing containers, of paper, paperboard, cellulose wadding or webs of cellulose fibres, n.e.s.; box files, letter trays, and similar articles, of paperboard of a kind used in offices, shops or the like; 4808 - Corrugated paper and paperboard "with or without glued flat surface sheets", creped, crinkled, embossed or perforated, in rolls of a width &gt; 36 cm or in square or rectangular sheets with one side &gt; 36 cm and the other side &gt; 15 cm in the unfolded state (excl. goods of heading 4803); 4805 - Other paper and paperboard, uncoated, in rolls of a width &gt; 36 cm or in square or rectangular sheets with one side &gt; 36 cm and the other side &gt; 15 cm in the unfolded state, not worked other than as specified in Note 3 to this chapter, n.e.s.; 4804 - Uncoated kraft paper and paperboard, in rolls of a width &gt; 36 cm or in square or rectangular sheets with one side &gt; 36 cm and the other side &gt; 15 cm in the unfolded state (excl. goods of heading 4802 or 4803); 3923 - Articles for the conveyance or packaging of goods, of plastics; stoppers, lids, caps and other closures, of plastics; 3921 - Plates, sheets, film, foil and strip, of plastics, reinforced, laminated, supported or similarly combined with other materials, or of cellular plastic, unworked or merely surface-worked or merely cut into squares or rectangles (excl. self-adhesive products, floor, wall and ceiling coverings of heading 3918); 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4813 - Cigarette paper, whether or not cut to size or in the form of booklets or tubes; 4808 - Corrugated paper and paperboard "with or without glued flat surface sheets", creped, crinkled, embossed or perforated, in rolls of a width &gt; 36 cm or in square or rectangular sheets with one side &gt; 36 cm and the other side &gt; 15 cm in the unfolded state (excl. goods of heading 4803); 4805 - Other paper and paperboard, uncoated, in rolls of a width &gt; 36 cm or in square or rectangular sheets with one side &gt; 36 cm and the other side &gt; 15 cm in the unfolded state, not worked other than as specified in Note 3 to this chapter, n.e.s.; 4804 - Uncoated kraft paper and paperboard, in rolls of a width &gt; 36 cm or in square or rectangular sheets with one side &gt; 36 cm and the other side &gt; 15 cm in the unfolded state (excl. goods of heading 4802 or 4803); 3923 - Articles for the conveyance or packaging of goods, of plastics; stoppers, lids, caps and other closures, of plastics; 3921 - Plates, sheets, film, foil and strip, of plastics, reinforced, laminated, supported or similarly combined with other materials, or of cellular plastic, unworked or merely surface-worked or merely cut into squares or rectangles (excl. self-adhesive products, floor, wall and ceiling coverings of heading 3918); 4819 - Cartons, boxes, cases, bags and other packing containers, of paper, paperboard, cellulose wadding or webs of cellulose fibres, n.e.s.; box files, letter trays, and similar articles, of paperboard of a kind used in offices, shops or the like; 4813 - Cigarette paper, whether or not cut to size or in the form of booklets or tubes; 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3919 - Self-adhesive plates, sheets, film, foil, tape, strip and other flat shapes, of plastics, whether or not in rolls (excl. floor, wall and ceiling coverings of heading 3918); 6305 - Sacks and bags, of a kind used for the packing of goods, of all types of textile materials; 6909 - Ceramic wares for laboratory, chemical or other technical uses; ceramic troughs, tubs and similar receptacles used in agriculture; ceramic pots, jars and similar articles used for the conveyance or packing of goods (excl. millstones, polishing stones, grindstones and the like of heading 6804; refractory ceramic goods; household articles; containers for shops; electrical devices, insulators and other insulating fittings); 7010 - Carboys, bottles, flasks, jars, pots, phials, ampoules and other containers, of glass, of a kind used for the conveyance or packing of goods, preserving jars, stoppers, lids and other closures, of glass (excl. glass envelopes and containers, with vacuum insulation, perfume atomizers, flasks, bottles etc. for atomizers); 7310 - Tanks, casks, drums, cans, boxes and similar containers, of iron or steel, for any material "other than compressed or liquefied gas", of a capacity of &lt;= 300 l, not fitted with mechanical or thermal equipment, whether or not lined or heat-insulated, n.e.s.; 7612 - Casks, drums, cans, boxes and similar containers, incl. rigid or collapsible tubular containers, of aluminium, for any material (other than compressed or liquefied gas), of a capacity of &lt;= 300 l, not fitted with mechanical or thermal equipment, whether or not lined or heat-insulated, n.e.s.; 8309 - Stoppers, caps and lids, incl. crown corks, screw caps and pouring stoppers, capsules for bottles, threaded bungs, bung covers, seals and other packing accessories, of base metal; 4823 - 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t>
  </si>
  <si>
    <t>55.020 - Packaging and distribution of goods in general; 55.020 - Packaging and distribution of goods in general</t>
  </si>
  <si>
    <d:r xmlns:d="http://schemas.openxmlformats.org/spreadsheetml/2006/main">
      <d:rPr>
        <d:sz val="11"/>
        <d:rFont val="Calibri"/>
      </d:rPr>
      <d:t xml:space="preserve">https://www.legislation.gov.uk/ukdsi/2024/9780348264654/contents
</d:t>
    </d:r>
  </si>
  <si>
    <d:r xmlns:d="http://schemas.openxmlformats.org/spreadsheetml/2006/main">
      <d:rPr>
        <d:sz val="11"/>
        <d:rFont val="Calibri"/>
      </d:rPr>
      <d:t xml:space="preserve">https://members.wto.org/crnattachments/2024/TBT/omn/24_07325_00_x.pdf</d:t>
    </d:r>
  </si>
  <si>
    <t>The Order Amending the Order of Marketing of Formulated Food for Infant and Young Child. (One Page(s), in English)</t>
  </si>
  <si>
    <t>This Notification is to inform WTO Members that Myanmar Food and Drug Board of Authority Amended the following paragraph.The sub paragraph (b) of paragraph 2 of the Order of Marketing of Formulated Food for Infant and Young Child shall be substituted as follows:(b) Young child means a child from 6 months to 3 years of age.The sub paragraph (a) of paragraph 8 of the Order of Marketing of Formulated Food for Infant and Young Child shall be substituted as follows:(a)        Not suitable for child under 3 years of age.</t>
  </si>
  <si>
    <t>HS code 4.01-04.05/19.01/22.02</t>
  </si>
  <si>
    <t>2202 - Waters, incl. mineral waters and aerated waters, containing added sugar or other sweetening matter or flavoured, and other non-alcoholic beverages (excl. fruit, nut or vegetable juices and milk); 1901 - 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 0405 - Butter, incl. dehydrated butter and ghee, and other fats and oils derived from milk; dairy spreads; 0404 - Whey, whether or not concentrated or containing added sugar or other sweetening matter; products consisting of natural milk constituents, whether or not containing added sugar or other sweetening matter, n.e.s.;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0402 - Milk and cream, concentrated or containing added sugar or other sweetening matter; 0401 - Milk and cream, not concentrated nor containing added sugar or other sweetening matter</t>
  </si>
  <si>
    <t>67.100 - Milk and milk products; 67.230 - Prepackaged and prepared foods; 11 - Health care technology</t>
  </si>
  <si>
    <t>International Health Certification With The Use Of Electronic Signature </t>
  </si>
  <si>
    <t>The Department of Inspection of Products of Animal Origin (DIPOA), of the Ministry of Agriculture and Livestock of Brazil, implemented, in its computerized system, a new security tool regarding the authenticity of Transit Documents,allowing the issuance of International Sanitary Certificates (CSI) for edible and non-edible products of animal origin, originating from establishments registered with the Federal Inspection Service - SIF, with the use of electronic signature.The new security tool implemented includes:a) Electronic signature: International Sanitary Certificates will be signed electronically, with two-factor verification by the system, recording the full name of the official server responsible for issuing them, their position and the number of their Functional Identification Card (CIF), in addition to the date and time the certificate was approved in the system.b) QR Code for checking the Sanitary Certificate issued: allows verification and security of the information validated by the Service.With the implementation of this new tool, the sanitary certificate is issued in PDF format, with greater agility, security and sustainability, eliminating the need for printing, manual signature and application of stamps. In this notification, the Department of Inspection of Products of Animal Origin (DIPOA), of the Ministry of Agriculture and Livestock of Brazil, announces that the International Sanitary Certificates of standard model (used for exports to countries with which Brazil does not have a bilaterally agreed certificate model) will now be issued with electronic signature, maintaining manual signature and stamps only in cases where the system is unavailable (contingency measure).Finally, we inform the countries importing products of animal origin and products for animal feed that a period of 180 days will be given for entry into force, starting from the date of publication in the WTO.</t>
  </si>
  <si>
    <t>Products of animal origin</t>
  </si>
  <si>
    <t>67.100 - Milk and milk products; 67.120 - Meat, meat products and other animal produce; 67.200 - Edible oils and fats. Oilseeds</t>
  </si>
  <si>
    <t xml:space="preserve">Not specified  (TBT); Other (TBT)</t>
  </si>
  <si>
    <d:r xmlns:d="http://schemas.openxmlformats.org/spreadsheetml/2006/main">
      <d:rPr>
        <d:sz val="11"/>
        <d:rFont val="Calibri"/>
      </d:rPr>
      <d:t xml:space="preserve">https://members.wto.org/crnattachments/2024/TBT/BRA/24_07306_00_x.pdf</d:t>
    </d:r>
  </si>
  <si>
    <t>Track Geometry Measurement System (TGMS) Inspections</t>
  </si>
  <si>
    <t xml:space="preserve">Notice of proposed rulemaking - FRA is proposing to revise its regulations governing the 
minimum safety requirements for railroad track. The proposed changes 
would require all Class I and II railroads, as well as intercity 
passenger railroads and commuter railroads, to operate a qualifying 
Track Geometry Measurement System (TGMS), a type of automated track 
inspection (ATI) technology, at specified frequencies on all Class 1 
through 5 mainline and controlled siding track that transports: annual 
tonnage greater than 10 million gross tons (MGT); regularly scheduled 
passenger rail service; or trains containing hazardous materials. FRA 
also proposes increasing the required frequency of TGMS inspections on 
Class 6 track.</t>
  </si>
  <si>
    <t>Track Geometry Measurement System (TGMS); automated track inspection (ATI) technology; Railway track safety; Quality (ICS code(s): 03.120); Railway engineering in general (ICS code(s): 45.020); Rails and railway components (ICS code(s): 45.080)</t>
  </si>
  <si>
    <t>03.120 - Quality; 45.020 - Railway engineering in general; 45.080 - Rails and railway components</t>
  </si>
  <si>
    <d:r xmlns:d="http://schemas.openxmlformats.org/spreadsheetml/2006/main">
      <d:rPr>
        <d:sz val="11"/>
        <d:rFont val="Calibri"/>
      </d:rPr>
      <d:t xml:space="preserve">https://members.wto.org/crnattachments/2024/TBT/USA/24_07321_00_e.pdf</d:t>
    </d:r>
  </si>
  <si>
    <t>Proyecto de Orden Ministerial por la que se declaran determinadas sustancias y objetos como subproductos, con arreglo a la Ley 7/2022, de 8 de abril, de residuos y suelos contaminados para una economía circular (Draft Ministerial Order declaring certain substances and objects to be by-products, in accordance with Law No. 7/2022 of 8 April on waste and contaminated soil for a circular economy) (12 pages, in Spanish)</t>
  </si>
  <si>
    <t xml:space="preserve">The notified text, which is applicable throughout state territory, seeks to declare certain substances and objects as by-products, as provided for in Article 4 of Law No. 7/2022 of 8 April. The scope of the text covers substances or objects of very different types deriving from different activities and industrial processes; some derive from the production of aluminium, the production of electrolytic copper and the synthesis of oxalic acid, while others are substances or objects deriving from the agri-food industries, such as diluted sulphuric acid. The text even covers waste from the manufacture of plant substrate, the timber or associated industries, and the tissue paper processing industry. G/TBT/N/ESP/52 - 2 -   In addition, each of these materials is assigned a certain use with which it must comply in order to qualify as a by-product, as provided for in Article 1.1 of the Ministerial Order and in accordance with Article 4.1(d) of Law No. 7/2022 of 8 April. The criteria shall be valid, in general, throughout Spanish territory as a whole, as provided for in Article 4 of Law No. 7/2022 of 8 April on waste and contaminated soil for a circular economy.</t>
  </si>
  <si>
    <t>Sodium hydroxide saturated in aluminium; artificial gypsum; nitric acid solution (60%); plant substrate; diluted sulphuric acid; wood chips, parings, sawdust, shavings, trunk remains, and parings and remains of virgin wood; and paper waste from the converting process in the manufacture of tissue paper end products.</t>
  </si>
  <si>
    <d:r xmlns:d="http://schemas.openxmlformats.org/spreadsheetml/2006/main">
      <d:rPr>
        <d:sz val="11"/>
        <d:rFont val="Calibri"/>
      </d:rPr>
      <d:t xml:space="preserve">https://members.wto.org/crnattachments/2024/TBT/ESP/24_07309_00_s.pdf</d:t>
    </d:r>
  </si>
  <si>
    <t>Oil and Gas and Sulfur Operations in the Outer Continental Shelf--High Pressure High Temperature Updates</t>
  </si>
  <si>
    <t xml:space="preserve">BSEE is correcting a final rule that appeared in the Federal Register on 30 August 2024 (notified as G/TBT/N/USA/1862/Add.1). BSEE is publishing a correction to fix an erroneous statement in the preamble of the final rule. BSEE inadvertently stated it did not receive public comments to an identified section of the rule. However, BSEE had received a comment associated with that section of the rule. BSEE evaluated and addressed that comment in other discussions in the preamble of the final rule.Effective 25 October 202489 Federal Register (FR) 85050, 25 October 2024; Title 30 Code of Federal Regulations (CFR) Part 250_x000D_
https://www.govinfo.gov/content/pkg/FR-2024-10-25/html/2024-24783.htm_x000D_
https://www.govinfo.gov/content/pkg/FR-2024-10-25/pdf/2024-24783.pdfThis action and previous actions notified under the symbol G/TBT/N/USA/1862 are identified by Docket Number BSEE-2021-0003. The Docket Folder is available from Regulations.gov at https://www.regulations.gov/docket/BSEE-2021-0003/document and provides access to primary and supporting documents as well as comments received. Documents are also accessible from Regulations.gov by searching the Docket Number.</t>
  </si>
  <si>
    <t>Equipment used in high pressure high temperature (HPHT) environments; Quality (ICS code(s): 03.120); Environmental protection (ICS code(s): 13.020); Protection against excessive pressure (ICS code(s): 13.240)</t>
  </si>
  <si>
    <t>03.120 - Quality; 03.120 - Quality; 03.120 - Quality; 13.020 - Environmental protection; 13.020 - Environmental protection; 13.020 - Environmental protection; 13.240 - Protection against excessive pressure; 13.240 - Protection against excessive pressure; 13.240 - Protection against excessive pressure</t>
  </si>
  <si>
    <d:r xmlns:d="http://schemas.openxmlformats.org/spreadsheetml/2006/main">
      <d:rPr>
        <d:sz val="11"/>
        <d:rFont val="Calibri"/>
      </d:rPr>
      <d:t xml:space="preserve">https://members.wto.org/crnattachments/2024/TBT/USA/24_07323_00_e.pdf</d:t>
    </d:r>
  </si>
  <si>
    <t>Draft Ministerial Regulation Prescribing Industrial Products for Instantaneous Water Heaters to Conform to the Standard B.E. ....</t>
  </si>
  <si>
    <t>The draft Ministerial Regulation mandates instantaneous water heaters to conform to the Thai Industrial Standard TIS 60335 Part 2(35)-25XX(20XX) Household and Similar Electrical Appliances - Safety - Part 2-35: Particular Requirements for Instantaneous Water Heaters.This draft Ministerial Regulation applies to electric instantaneous water heaters for household and similar purposes and intended for heating water below boiling temperature, their rated voltage being not more than 250 V for single-phase appliances and 480 V for other appliances.</t>
  </si>
  <si>
    <t>Domestic safety (ICS 13.120), Small kitchen appliances (ICS 97.040.50), Instantaneous water heaters</t>
  </si>
  <si>
    <t>851610 - Electric instantaneous or storage water heaters and immersion heaters</t>
  </si>
  <si>
    <t>13.120 - Domestic safety; 97.040.50 - Small kitchen appliances</t>
  </si>
  <si>
    <d:r xmlns:d="http://schemas.openxmlformats.org/spreadsheetml/2006/main">
      <d:rPr>
        <d:sz val="11"/>
        <d:rFont val="Calibri"/>
      </d:rPr>
      <d:t xml:space="preserve">https://members.wto.org/crnattachments/2024/TBT/THA/24_07340_00_x.pdf</d:t>
    </d:r>
  </si>
  <si>
    <t>Reglamento Técnico Salvadoreño RTS 75.02.02:24 Construcción y Operación de Estaciones de Servicio (E/S) de Gas Natural Vehicular (GNV) y Talleres de Conversión/Habilitación (TCH) de Automotores a Gas Natural Vehicular (GNV) (Salvadoran Technical Regulation RTS 75.02.02:24 - Construction and operation of vehicular natural gas service stations and workshops that convert and adapt motor vehicles to use vehicular natural gas) (73 pages, in Spanish)</t>
  </si>
  <si>
    <t>The notified Salvadoran Technical Regulation establishes the technical (operational and safety-related) requirements to be met by any person involved in the construction and operation of vehicular natural gas service stations and workshops that convert and adapt motor vehicles to use vehicular natural gas. It sets out the maintenance and inspection requirements for these establishments and the safety measures to be taken by vehicular natural gas users. The Technical Regulation applies to natural and legal persons involved in the construction, operation and maintenance of vehicular natural gas service stations and workshops that convert and adapt motor vehicles to use vehicular natural gas, and to users thereof. G/TBT/N/SLV/230 - 2 -</t>
  </si>
  <si>
    <t>Petroleum products and natural gas handling equipment (ICS code: 75.200)</t>
  </si>
  <si>
    <t>75.200 - Petroleum products and natural gas handling equipment</t>
  </si>
  <si>
    <d:r xmlns:d="http://schemas.openxmlformats.org/spreadsheetml/2006/main">
      <d:rPr>
        <d:sz val="11"/>
        <d:rFont val="Calibri"/>
      </d:rPr>
      <d:t xml:space="preserve">https://members.wto.org/crnattachments/2024/TBT/SLV/24_07294_00_s.pdf</d:t>
    </d:r>
  </si>
  <si>
    <t>Notice of Extension of 15-Day Public Comment Period for SB 54 Plastic Pollution Prevention and Packaging Producer Responsibility Act Permanent Regulations to 3 November 2024 Notice of Extension of Public Comment Period - The notice of extension of the 15-Day public comment period.Notice of 15-Day Changes to Proposed Rulemaking - The notice of changes that have been made to the original proposed regulations.Updated Proposed Regulation Text - The updated express language that shows any proposed adoption, amendment, or deletion to the regulations.CalRecycle is only required to respond to comments that address the changes made in the regulation text for this comment period. In addition, CalRecycle will only consider written comments sent to CalRecycle and received during the 15-day written comment period which began on 14 October 2024. CalRecycle is extending the public comment period, and the public comment period will now end on 3 November 2024. Written comments received by CalRecycle after the close of the public comment period are considered untimely. CalRecycle may, but is not required to, respond to untimely comments.  For more information, refer to the rulemaking webpage SB 54 Plastic Pollution Prevention and Packaging Producer Responsibility Act Permanent RegulationsWTO Members and their stakeholders are asked to submit comments to the USA TBT Enquiry Point. Comments received by the USA TBT Enquiry Point from WTO Members and their stakeholders by 4pmEastern Time on 1 November 2024 will be shared with CalRecycle.</t>
  </si>
  <si>
    <t>Safety Standard for Nursing Pillows</t>
  </si>
  <si>
    <t xml:space="preserve">Pursuant to the Danny Keysar Child Product Safety Notification Act, section 104 of the Consumer Product Safety Improvement Act of 2008 (CPSIA), the U.S. Consumer Product Safety Commission (Commission or CPSC) is issuing this final rule establishing a consumer product safety standard for nursing pillows. CPSC is also amending its regulations regarding third party conformity assessment bodies, to include the safety standard for nursing pillows in the list of notices of requirements (NORs), along with identifying nursing pillows as a durable infant or toddler product subject to consumer registration requirements.This rule will become effective 23 April 2025. The incorporation by reference of certain material listed in this rule is approved by the Director of the Federal Register as of 23 April 2025.89 Federal Register (FR) 85388, 25 October 2024; Title 16 Code of Federal Regulations (CFR) Parts 11121130 and 1242:_x000D_
https://www.govinfo.gov/content/pkg/FR-2024-10-25/html/2024-24403.htm_x000D_
https://www.govinfo.gov/content/pkg/FR-2024-10-25/pdf/2024-24403.pdfThis final rule and previous actions notified under the symbol G/TBT/N/USA/2052 are identified by Docket Number CPSC-2023-0037. The Docket Folder is available on Regulations.gov at https://www.regulations.gov/docket/CPSC-2023-0037/document and provides access to primary and supporting documents as well as comments received. Documents are also accessible from Regulations.gov by searching the Docket Number. _x000D_
</t>
  </si>
  <si>
    <t>Nursing pillows; Quality (ICS code(s): 03.120); Domestic safety (ICS code(s): 13.120); Equipment for children (ICS code(s): 97.190)</t>
  </si>
  <si>
    <t>03.120 - Quality; 13.120 - Domestic safety; 97.190 - Equipment for children; 03.120 - Quality; 13.120 - Domestic safety; 97.190 - Equipment for children</t>
  </si>
  <si>
    <d:r xmlns:d="http://schemas.openxmlformats.org/spreadsheetml/2006/main">
      <d:rPr>
        <d:sz val="11"/>
        <d:rFont val="Calibri"/>
      </d:rPr>
      <d:t xml:space="preserve">https://members.wto.org/crnattachments/2024/TBT/USA/final_measure/24_07322_00_e.pdf</d:t>
    </d:r>
  </si>
  <si>
    <t>Safety Standards for Full-Size Baby Cribs and Non-Full-Size Baby Cribs</t>
  </si>
  <si>
    <t xml:space="preserve">Two of the U.S. Consumer Product Safety Commission's (Commission or CPSC) mandatory rules, Safety Standard for Non-Full-Size Baby Cribs and Safety Standard for Play Yards, incorporate by reference the same voluntary standard, ASTM F406, Standard Consumer Safety Specification for Non-Full-Size Baby Cribs/Play Yards. The Safety Standard for Non-Full-Size Baby Cribs incorporates the 2022 version of ASTM F406, and the Safety Standard for Play Yards incorporates the 2019 version of ASTM F406. ASTM notified the Commission that it has revised ASTM F406 and published ASTM F406-2024. CPSC seeks comment on whether adopting the revised voluntary standard would improve the safety of non-full-size cribs and/or play yards.Comments must be received by 8 November 2024.89 Federal Register (FR) 85077, 25 October 2024; Title 16 Code of Federal Regulations (CFR) Parts 1220 and 1221_x000D_
https://www.govinfo.gov/content/pkg/FR-2024-10-25/html/2024-24130.htm_x000D_
https://www.govinfo.gov/content/pkg/FR-2024-10-25/pdf/2024-24130.pdf_x000D_
_x000D_
This action is identified by Docket Number CPSC-2024-0034. The Docket Folder is available on Regulations.gov at https://www.regulations.gov/search?filter=CPSC-2024-0034 and provides access to primary and supporting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8 November 2024 will be shared with CPSC and will also be submitted to the Docket on Regulations.gov if received within the comment period.Previous actions notified under the symbol G/TBT/N/USA/564 are identified by Docket Numbers CPSC-2019-0025 and CPSC-2010-0075</t>
  </si>
  <si>
    <t>Baby cribs (ICS: 97.140, 97.190)</t>
  </si>
  <si>
    <t>97.140 - Furniture; 97.140 - Furniture; 97.190 - Equipment for children; 97.190 - Equipment for children</t>
  </si>
  <si>
    <d:r xmlns:d="http://schemas.openxmlformats.org/spreadsheetml/2006/main">
      <d:rPr>
        <d:sz val="11"/>
        <d:rFont val="Calibri"/>
      </d:rPr>
      <d:t xml:space="preserve">https://members.wto.org/crnattachments/2024/TBT/USA/24_07324_00_e.pdf</d:t>
    </d:r>
  </si>
  <si>
    <t>Ministerial resolution to revise the regulation of importing living animals, their products, and by-products, amending Ministerial Resolution No. 335 of 2018</t>
  </si>
  <si>
    <t>The United Arab Emirates is distributing a draft ministerial resolution aimed at regulating the importation of live animals, their products, and by-products. This new resolution will update Ministerial Resolution No. 335 of 2018, which previously governed these imports.</t>
  </si>
  <si>
    <t>All living animals, their products and their by-products</t>
  </si>
  <si>
    <d:r xmlns:d="http://schemas.openxmlformats.org/spreadsheetml/2006/main">
      <d:rPr>
        <d:sz val="11"/>
        <d:rFont val="Calibri"/>
      </d:rPr>
      <d:t xml:space="preserve">https://members.wto.org/crnattachments/2024/SPS/ARE/24_07316_00_x.pdf
https://members.wto.org/crnattachments/2024/SPS/ARE/24_07316_01_x.pdf</d:t>
    </d:r>
  </si>
  <si>
    <t>Amendment to Exempt Resolution No. 7.219 of 2009 of the Undersecretariat of Telecommunications, establishing the minimum technical specifications to be met by digital terrestrial television receivers</t>
  </si>
  <si>
    <t xml:space="preserve">__________  1 This information can be provided by including a website address, a PDF attachment, or other information on where the text of the final measure/change to the measure/interpretative guidance can be obtained.</t>
  </si>
  <si>
    <t>Antena receptora de televisión digital terrestre.</t>
  </si>
  <si>
    <t>33.160.25 - Television receivers; 33.160.25 - Television receivers</t>
  </si>
  <si>
    <d:r xmlns:d="http://schemas.openxmlformats.org/spreadsheetml/2006/main">
      <d:rPr>
        <d:sz val="11"/>
        <d:rFont val="Calibri"/>
      </d:rPr>
      <d:t xml:space="preserve">https://members.wto.org/crnattachments/2024/TBT/CHL/final_measure/24_07303_00_s.pdf</d:t>
    </d:r>
  </si>
  <si>
    <t>Modifica resolución No 5.479 del 13 de noviembre de 2006 que establece regulaciones para la importación de material de reproducción que se indica, procedentes de Estados Unidos de Norteamérica y resolución No 1.423 del 9 de marzo de 2010 que establece requisitos fitosanitarios para la importación de plantas y partes de plantas hospederas de Epiphyas postvittana (Amendments to Resolution No. 5.479 of 13 November 2006 establishing regulations for the importation of certain reproduction materials from the United States of America and Resolution No. 1.423 of 9 March 2010 establishing phytosanitary requirements for the importation of plants and plant parts that are host to Epiphyas postvittana)</t>
  </si>
  <si>
    <t>The notified measure amends the following: • Resolution No. 5.479 of 2006, replacing the text under the second bullet point concerning the species avocado (Persea Americana) in the additional declaration column of the table in subparagraph 1.2 of the operative part, with the following: "The plant material is free from the following arthropods: Aonidiella orientalis (Hem. Diaspididae), Aleurocanthus woglumi (Hem. Aleyrodidae), Aleurodicus spp. (Hem. Aleyrodidae), Aspidiotus destructor (Hem. Diaspididae), Ceroplastes floridensis (Hem. Coccidae), Epiphyas postvittana (Lep. Tortricidae), Homalodisca coagulata (Hem. Cicadellidae), Marmara gulosa (Lep. Gracillariae), Nipacoccus nipae (Hem. Pseudoccidae), Oligonychus persea (Ac. Tetranychidae), Parabemisia myricae (Hem. Aleyrodidae), Paraleyrodes persea (Hem. Aleyrodidae), Scirtothrips persea (Thy. Thripidae), Selenothrips rubrocintus (Thy. Thripidae), Tetranychus neocaledonicus (Ac. Tetranychidae)"; • Resolution No. 1.423 of 2010, removing the species Persea Americana from the table in subparagraph 1.1 that establishes phytosanitary requirements for the importation of fruit, plants and plant parts that are host to Epiphyas postvittana from the states of California and Hawaii in the United States of America. Further details can be found in the document attached to this notification. G/SPS/N/CHL/804 - 2 -</t>
  </si>
  <si>
    <t>Avocado (Persea americana)</t>
  </si>
  <si>
    <d:r xmlns:d="http://schemas.openxmlformats.org/spreadsheetml/2006/main">
      <d:rPr>
        <d:sz val="11"/>
        <d:rFont val="Calibri"/>
      </d:rPr>
      <d:t xml:space="preserve">https://members.wto.org/crnattachments/2024/SPS/CHL/24_07318_00_s.pdf
https://members.wto.org/crnattachments/2024/SPS/CHL/24_07318_01_s.pdf
https://members.wto.org/crnattachments/2024/SPS/CHL/24_07318_02_s.pdf</d:t>
    </d:r>
  </si>
  <si>
    <t>Proposed compositional requirements for infant foods and foods currently regulated as foods for special dietary use (available in English and French).</t>
  </si>
  <si>
    <t>Health Canada is working to modernize its regulations on infant foods and foods for special dietary use. These foods are regulated under Divisions 24 and 25 of the Food and Drug Regulations. On October 23, 2024, Health Canada launched a 60-day pre-consultation specific to the compositional requirements of these foods. This consultation is a follow up to the pre-consultation on the Regulatory Modernization of Foods for Special Dietary Use and Infant Foods: Divisions 24 and 25 of the Food and Drug Regulations, (https://www.canada.ca/en/health-canada/programs/consultation-regulatory-modernization-foods-special-dietary-use-infant-foods/document.html) held from November 28, 2023, to February 26, 2024. The proposed compositional requirements vary by product category and include: energy, macronutrients and micronutrient amounts. The consultation will close to new input on December 23, 2024.</t>
  </si>
  <si>
    <t>Infant formula Medical foods for ages one or more such as formulated liquid dietsMedical food represented as a total diet replacement for weight reductionConventional infant foods such as infant cereals and fruit pureesGluten free foods Meal replacements and nutritional supplements</t>
  </si>
  <si>
    <t>2106 - Food preparations, n.e.s.; 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</si>
  <si>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Draft Commission Implementing Decision not approving 5-chloro-2-methyl-2H-isothiazol-3-one (CIT) as an active substance for use in biocidal products of product-type 6 in accordance with Regulation (EU) No 528/2012 of the European Parliament and of the Council </t>
  </si>
  <si>
    <t>This draft Commission Implementing Decision does not approve 5-chloro-2-methyl-2H-isothiazol-3-one (CIT) as an active substance for use in biocidal products of product-type 6.A safe use of the substance was not demonstrated concerning the environment, since the information provided by the applicant was not sufficient to conclude on the assessment of endocrine disrupting properties of the substance concerning non-target organisms.</t>
  </si>
  <si>
    <d:r xmlns:d="http://schemas.openxmlformats.org/spreadsheetml/2006/main">
      <d:rPr>
        <d:sz val="11"/>
        <d:rFont val="Calibri"/>
      </d:rPr>
      <d:t xml:space="preserve">https://members.wto.org/crnattachments/2024/TBT/EEC/24_07305_00_e.pdf</d:t>
    </d:r>
  </si>
  <si>
    <t>New GB MRLs for cyflufenamid amending the GB MRL Statutory Register </t>
  </si>
  <si>
    <t>An application was received by the Health and Safety Executive to set new MRLs for cyflufenamid in or on blackberries, dewberries, raspberries (red and yellow), blueberries, cranberries, currants (black, red and white), gooseberries (green, red and yellow), rose hips, mulberries (black and white) and elderberries.  Following assessment, new MRLs have been introduced. The Evaluation Report/Reasoned Opinion supporting the new MRLs is available at the following link. A complete list of the new MRLs is available within this document, see pages 7-8.  The residue levels arising in food from the notified uses result in consumer exposures below the toxicological reference values and therefore harmful effects on human health are not expected. As the residue levels exceed the current MRLs in force, new MRLs are being adopted.  </t>
  </si>
  <si>
    <t>Products (and associated GB commodity codes*): Blackberries (0153010), dewberries (0153020), raspberries (red and yellow) (0153030), blueberries (0154010), cranberries (0154020), currants (black, red and white) (0154030), gooseberries (green, red and yellow) (0154040), rose hips (0154050), mulberries (black and white) (0154060) and elderberries (0154080)* For reference, the full list of GB commodity codes is set out in Part 1 of the GB pesticides Maximum Residue Level Statutory Register – see link</t>
  </si>
  <si>
    <t>081040 - Fresh cranberries, bilberries and other fruits of the genus Vaccinium; 081030 - Fresh black-, white- or redcurrants and gooseberries; 081020 - Fresh raspberries, blackberries, mulberries and loganberries</t>
  </si>
  <si>
    <d:r xmlns:d="http://schemas.openxmlformats.org/spreadsheetml/2006/main">
      <d:rPr>
        <d:sz val="11"/>
        <d:rFont val="Calibri"/>
      </d:rPr>
      <d:t xml:space="preserve">https://members.wto.org/crnattachments/2024/SPS/GBR/24_07319_00_e.pdf</d:t>
    </d:r>
  </si>
  <si>
    <t>Reglamento de Desinfectantes (Regulation on disinfectants)</t>
  </si>
  <si>
    <t>Disinfectants</t>
  </si>
  <si>
    <t>71.100.35 - Chemicals for industrial and domestic disinfection purposes; 71.100.35 - Chemicals for industrial and domestic disinfection purposes</t>
  </si>
  <si>
    <d:r xmlns:d="http://schemas.openxmlformats.org/spreadsheetml/2006/main">
      <d:rPr>
        <d:sz val="11"/>
        <d:rFont val="Calibri"/>
      </d:rPr>
      <d:t xml:space="preserve">https://members.wto.org/crnattachments/2024/TBT/CHL/24_07302_00_s.pdf</d:t>
    </d:r>
  </si>
  <si>
    <t>Albania</t>
  </si>
  <si>
    <t>For some additions and changes in the regulation "On the determination of criteria and requirements for the veterinary certification of some types of animals and their fresh meat, which enter in the Republic of Albania, from certain states and from other territories, under the administration of these states" approved by order No 328 date 22 November 2011 of the Minister of Agriculture</t>
  </si>
  <si>
    <t>Amendment of the model of certificates BOV-X, BOV-Y, OVI-X, OVI-Y, POR-X, POR-Y and SUI, according to Part 2 of order No. 328, dated 22 November 2011, for the approval of the regulation “On determining the criteria and requirements for the veterinary certification of certain types of animals and their fresh meat, which enter in the Republic of Albania from certain countries, as well as from other territories, in the administration of these states”.</t>
  </si>
  <si>
    <t>Live animals</t>
  </si>
  <si>
    <t>01 - LIVE ANIMALS</t>
  </si>
  <si>
    <d:r xmlns:d="http://schemas.openxmlformats.org/spreadsheetml/2006/main">
      <d:rPr>
        <d:sz val="11"/>
        <d:rFont val="Calibri"/>
      </d:rPr>
      <d:t xml:space="preserve">https://members.wto.org/crnattachments/2024/SPS/ALB/24_07317_00_x.pdf</d:t>
    </d:r>
  </si>
  <si>
    <t>(Honduran Technical Regulation (RTH) No. 27:03:24: Low-temperature thermal solar installations. Basic installation requirements) Paragraph 11 of document G/TBT/N/HND/103 of 21 October 2024 should read as follows: 11. Texts available from: National enquiry point [X] or address, telephone and fax numbers and email and website addresses, if available, of other body: • Secretaría de Energía, SEN (Ministry of Energy) Edificio Altamira, salida a Valle de Ángeles, final del anillo periférico. Email: xiomarapinto@sen.hn Website: http://www.sen.hn • Secretaría de Desarrollo Económico, SDE (Secretariat for Economic Development) Dirección General de Integración Económica y Política Comercial (Directorate-General of Economic Integration and Trade Policy) Centro Cívico Gubernamental "José Cecilio del Valle". Nivel 9, Torre 1 Tel.: (+504) 2242 8365 Email: gabriela.salinas@sde.gob.hn; gsalinas_sic@yahoo.com Text available from: https://sde.gob.hn/wp-content/uploads/2024/10/RTH-27.03.03.24-Instalaciones-solares-termicas-de-baja-temperatura.-Req.-basicos-de-Instalacion.pdf</t>
  </si>
  <si>
    <t>Motors (ICS number: 29.160.30)</t>
  </si>
  <si>
    <t>27.160 - Solar energy engineering; 27.160 - Solar energy engineering</t>
  </si>
  <si>
    <t xml:space="preserve">Honduran Technical Regulation (RTH) No. 29.04.04.24: Energy efficiency. Three-phase squirrel-cage AC induction motors, with nominal power of between 0.746 and 373 kW. Limits, test method and labelling. Paragraphs 6 and 11 of document G/TBT/N/HND/104 of 21 October 2024 should read as follows: 6. Description of content: This Honduran Technical Regulation (RTH) establishes the relevant nominal and minimum efficiency values, the efficiency testing method, the approval criteria, and the minimum amount of specifications information to be included on the nameplates of three-phase squirrel-cage electric AC induction motors, open or enclosed, with nominal power of between 0.746 kW and 373 kW, imported into Honduras. The following are covered by the notified Regulation: • Three-phase squirrel-cage electric AC induction motors, with nominal power of between 0.746 kW and 373 kW • Operation at three-phase AC voltages of 60 Hz, and nominal voltage of up to 600 V, singly or at any combination of voltages; • Nominal frequency of 60 Hz or 50 Hz for operation at 60 Hz; • Operation at a nominal frequency of 60 Hz, open or enclosed, mounted horizontally or vertically, and continuous-duty operation. 11. Texts available from: National enquiry point [X] or address, telephone and fax numbers and email and website addresses, if available, of other body: • Secretaría de Energía, SEN (Ministry of Energy) Edificio Altamira, salida a Valle de Ángeles, final del anillo periférico. Email: danielbarralaga@sen.hn Website: http://www.sen.hn • Secretaría de Desarrollo Económico, SDE (Secretariat for Economic Development)  1 In English and Spanish only. G/TBT/N/HND/104/Corr.1 - 2 -   Dirección General de Integración Económica y Política Comercial (Directorate-General of Economic Integration and Trade Policy) Centro Cívico Gubernamental "José Cecilio del Valle". Nivel 9, Torre 1 Tel.: (+504) 2242 8365 Email: gabriela.salinas@sde.gob.hn; gsalinas_sic@yahoo.com Text available from: https://sde.gob.hn/wp-content/uploads/2024/10/RTH-29.04.04.24-Eficiencia-energetica.-Motores-de-corriente-alterna.-Limites-metodo-de-prueba-y-etiquetado.pdf</t>
  </si>
  <si>
    <t>29.160.30 - Motors; 29.160.30 - Motors</t>
  </si>
  <si>
    <t>Order of the Ministry of Agrarian Policy and Food of Ukraine No. 2572 "On Approval of the Procedure for Certification of Spirit Drinks with a Registered Geographical Indication and the Standard Plan for Certification of Spirit Drinks with a Registered Geographical Indication" of 12 August 2024</t>
  </si>
  <si>
    <t>The Procedure for Certification of Spirit Drinks with a Registered Geographical Indication (hereinafter referred to as "the Procedure") defines the mechanism for the certification of a spirit drink with a registered geographical indication (hereinafter referred to as "the spirit drink") and issuance of a certificate of compliance of a spirit drink with a registered geographical indicationthe to specification (hereinafter referred to as "the certificate").In accordance with the Procedure, prior to marketing the spirit drink, the producer of spirit drink shall to conclude an agreement with a certification body that is accredited and listed in the Register of certification bodies in the field of geographical indications and undergo certification of the produced spirit drink to confirm its compliance with the specification. Certification of spirit drinks is provided on a paid contractual basis.The Procedure for certifying the spirit drink includes: submission of an application for certification of the spirit drink with a registered geographical indication in the form set out in Annex 1 to the Procedure; examination of the application and submitted documents by the certification body; approval of the certification control plan for the spirit drinks (hereinafter referred to as "the control plan"); conclusion of a contract on certification in the field of geographical indications of spirit drinks in the form presented on the website of the certification body; conducting certification in accordance with the control plan through an initial or periodic inspection; issuing a reasoned decision on the issue or refusal to issue a certificate; issuing the certificate (in case of a decision to issue a certificate); suspending or withdrawing the certificate (if necessary).The control plan includes the frequency, duration, objects, methods, and means used in the certification process.The objects of inspections are the spirit drink producer, the geographical location of the spirit drink production, raw materials used for the spirit drink production, the composition and methods of the spirit drink production, the physical, chemical and organoleptic characteristics of the spirit drink, any special qualities or other characteristics of the spirit drink (if applicable).The means used in the certification process are determined by the certification body taking into account DSTU EN ISO/IEC 17065:2019 Conformity assessment. Requirements for bodies certifying products, processes and services.The validity period of the certificate is determined by the certification body, but may not be less than two years and more than five years.</t>
  </si>
  <si>
    <t>Spirit drinks</t>
  </si>
  <si>
    <t>2208 - Undenatured ethyl alcohol of an alcoholic strength of &lt; 80%; spirits, liqueurs and other spirituous beverages (excl. compound alcoholic preparations of a kind used for the manufacture of beverages); 2207 - Undenatured ethyl alcohol of an alcoholic strength of &gt;= 80%; ethyl alcohol and other spirits, denatured, of any strength</t>
  </si>
  <si>
    <d:r xmlns:d="http://schemas.openxmlformats.org/spreadsheetml/2006/main">
      <d:rPr>
        <d:sz val="11"/>
        <d:rFont val="Calibri"/>
      </d:rPr>
      <d:t xml:space="preserve">https://members.wto.org/crnattachments/2024/TBT/UKR/24_07280_00_x.pdf</d:t>
    </d:r>
  </si>
  <si>
    <t>Ministerial Decree No. 447/2024 (2 pages in Arabic) gives the producers and importers a six-month transitional period to abide by the Egyptian Standard ES 465-3 "cocoa and its products part: 3 chocolate" (partial amendment in 1 page in Arabic).Worth mentioning that this standard (partial amendment in 1 page in Arabic) includes the cancellation of item No. 5/2/3.</t>
  </si>
  <si>
    <t>PROYECTO DE MODIFICACIÓN QUE "DETERMINA CARACTERÍSTICAS DEL MENSAJE QUE PROMUEVE HÁBITOS DE VIDA SALUDABLE CONTENIDO EN LA PUBLICIDAD DE LOS ALIMENTOS" (Draft amendment determining the characteristics of the message promoting healthy lifestyle habits in food advertising)</t>
  </si>
  <si>
    <t>The Republic of Chile hereby advises that Decree No. 24 of the Ministry of Health, issued on 14 June 2023, has been published. __________</t>
  </si>
  <si>
    <t>Mass media food advertising, for those products exceeding the critical nutrient limits determined by the Ministry of Health in Article 120 bis of the Food Health Regulations</t>
  </si>
  <si>
    <d:r xmlns:d="http://schemas.openxmlformats.org/spreadsheetml/2006/main">
      <d:rPr>
        <d:sz val="11"/>
        <d:rFont val="Calibri"/>
      </d:rPr>
      <d:t xml:space="preserve">https://members.wto.org/crnattachments/2024/TBT/CHL/final_measure/24_07301_00_s.pdf
https://www.diariooficial.interior.gob.cl/publicaciones/2024/10/10/43970/01/2554134.pdf</d:t>
    </d:r>
  </si>
  <si>
    <t>Establishment of sanitary requirements for the importation of entrails and edible by-products of bovine animals, sheep, goats, swine, birds and horses, and repeal of Resolution No. 431 of 1998 and amendments thereto Chile hereby advises that Exempt Resolution No. 6942/2024 establishing sanitary requirements for the importation of entrails and edible by-products of bovine animals, sheep, goats, swine, birds and horses, and repealing Resolution No. 431 of 1998 and amendments thereto, was published in the Official Journal on 23 October 2024, and will enter into force four months after that date. https://members.wto.org/crnattachments/2024/SPS/CHL/24_07307_00_s.pdf</t>
  </si>
  <si>
    <t>Vísceras y subproductos comestibles de bovinos, ovinos, caprinos, porcinos, aves y equinos</t>
  </si>
  <si>
    <t>0206 - Edible offal of bovine animals, swine, sheep, goats, horses, asses, mules or hinnies, fresh, chilled or frozen; 0207 - Meat and edible offal of fowls of the species Gallus domesticus, ducks, geese, turkeys and guinea fowls, fresh, chilled or frozen; 0207 - Meat and edible offal of fowls of the species Gallus domesticus, ducks, geese, turkeys and guinea fowls, fresh, chilled or frozen; 0206 - Edible offal of bovine animals, swine, sheep, goats, horses, asses, mules or hinnies, fresh, chilled or frozen</t>
  </si>
  <si>
    <t>Animal health; Adoption/publication/entry into force of reg.; Animal diseases; Animal health; Animal diseases</t>
  </si>
  <si>
    <d:r xmlns:d="http://schemas.openxmlformats.org/spreadsheetml/2006/main">
      <d:rPr>
        <d:sz val="11"/>
        <d:rFont val="Calibri"/>
      </d:rPr>
      <d:t xml:space="preserve">https://members.wto.org/crnattachments/2024/SPS/CHL/24_07307_00_s.pdf</d:t>
    </d:r>
  </si>
  <si>
    <t>Modifica Resolución No 5.479 del 13 de noviembre de 2006 que establece regulaciones para la importación de material de reproducción que se indica, procedentes de Estados Unidos de Norteamérica y Resolución No 1.423 del 9 de marzo de 2010 que establece requisitos fitosanitarios para la importación de plantas y partes de plantas hospederas de Epiphyas postvittana (Amendments to Resolution No. 5.479 of 13 November 2006 establishing regulations for the importation of certain reproduction materials from the United States of America and Resolution No. 1.423 of 9 March 2010 establishing phytosanitary requirements for the importation of plants and plant parts that are host to Epiphyas postvittana)</t>
  </si>
  <si>
    <t>The notified measure amends the following: • Resolution No. 5.479 of 2006, replacing the text under the third bullet point concerning the species blueberry (Vaccinium corymbosum) in the additional declaration column of the table in subparagraph 1.2 of the operative part, with the following: "The plant material is free from the following arthropods: Acrobasis vaccinii (Lep. Pyralidae); Argyrotaenia citrana (Lep. Tortricidae); Brevipalpus lilium (Ac. Tenuipalpidae); Choristoneura rosaceae (Lep. Tortricidae); Conotrachelus nenúfar (Col. Curculionidae); Dasineura oxicoccana (Dip. Cecidonidae); Epiphyas postvittana (Lep. Tortricidae); Grapholita (=Cydia) packardi (Lep. Tortricidae); Operophtera brumata (Lep. Tortricidae); Scaphytopius magdalensis (Hem. Cicadellidae); Synanthedon scitula (Lep. Sessidae)"; • Resolution No. 1.423 of 2010, removing the species Vaccinium corymbosum from the table in subparagraph 1.1 that establishes phytosanitary requirements for the importation of fruit, plants and plant parts that are host to Epiphyas postvittana from the states of California and Hawaii in the United States of America. Further details can be found in the document attached to this notification. G/SPS/N/CHL/805 - 2 -</t>
  </si>
  <si>
    <t>Blueberries (Vaccinium corymbosum)</t>
  </si>
  <si>
    <d:r xmlns:d="http://schemas.openxmlformats.org/spreadsheetml/2006/main">
      <d:rPr>
        <d:sz val="11"/>
        <d:rFont val="Calibri"/>
      </d:rPr>
      <d:t xml:space="preserve">https://members.wto.org/crnattachments/2024/SPS/CHL/24_07320_00_s.pdf
https://members.wto.org/crnattachments/2024/SPS/CHL/24_07320_01_s.pdf
https://members.wto.org/crnattachments/2024/SPS/CHL/24_07320_02_s.pdf</d:t>
    </d:r>
  </si>
  <si>
    <t>The Ministerial Decree No. 447/2024 gives the producers and importers a six-month transitional period to abide by the Egyptian Standard ES 7650 for "General standard for fruit juices and nectars”.</t>
  </si>
  <si>
    <t>Vegetables and derived products (ICS code: 67.080.20)</t>
  </si>
  <si>
    <t>The Ministerial Decree No. 447/2024 gives the producers and importers a six-month transitional period to abide by the Egyptian Standard ES 1819-1 for ”bouillons and consommés and methods of analysis part 1: meat and poultry bouillon”.</t>
  </si>
  <si>
    <t>Meat and meat products (ICS code: 67.120.10); Poultry and eggs (ICS code: 67.120.20)</t>
  </si>
  <si>
    <t>67.120.10 - Meat and meat products; 67.120.20 - Poultry and eggs</t>
  </si>
  <si>
    <t>Electrical Clothes Washing Machines – Energy Performance, Testing and Labelling Requirements</t>
  </si>
  <si>
    <t>A draft technical regulation that specifies the Energy Performance, Testing and Labelling Requirements of Clothes washing machines and applies to clothes washing machines with capacity up to 25 kg, that operate in AC of 230V with a frequency of 50 Hz.</t>
  </si>
  <si>
    <d:r xmlns:d="http://schemas.openxmlformats.org/spreadsheetml/2006/main">
      <d:rPr>
        <d:sz val="11"/>
        <d:rFont val="Calibri"/>
      </d:rPr>
      <d:t xml:space="preserve">https://members.wto.org/crnattachments/2024/TBT/BHR/24_07285_00_e.pdf</d:t>
    </d:r>
  </si>
  <si>
    <t>Ministerial Decree No. 447/2024 that gives the producers and importers a six-month transitional period to abide by the Egyptian Standard ES 3-15 “processed feed and raw feed materials part: 15 - green fodder feed stuff".</t>
  </si>
  <si>
    <t>Animal feeding stuffs (ICS code: 65.120)</t>
  </si>
  <si>
    <t>The Ministerial Decree No. 447/2024 gives the producers and importers a six-month transitional period to abide by the Egyptian Standard ES 1471 for “edible tallow for used in food industries”.</t>
  </si>
  <si>
    <t>Animal and vegetable fats and oils (ICS code: 67.200.10)</t>
  </si>
  <si>
    <t>The Ministerial Decree No. 447/2024 gives the producers and importers a six-month transitional period to abide by the Egyptian Standard ES 889-1 for "frozen fish part: 1 - quick frozen finfish un-eviscerated and eviscerated”.</t>
  </si>
  <si>
    <t>Fish and fishery products (ICS code: 67.120.30)</t>
  </si>
  <si>
    <t>The Ministerial Decree No. 447/2024 gives the producers and importers a six-month transitional period to abide by the Egyptian Standard ES 889-2 for "frozen fish part: 2 - frozen fish fillets“.</t>
  </si>
  <si>
    <t>Draft of the Egyptian standard for “ Fire-fighting pumps - Fire-fighting centrifugal pumps without primer - Part 2: Verification of general and safety requirements” </t>
  </si>
  <si>
    <t>In the notification G/TBT/N/EGY/490, the first sentence of Item 6 should read (changes are in bold):This draft of Egyptian standard covers verification of the general and safety requirements of fire-fighting centrifugal pumps without primer as specified in EN 14710-1:2005+A2:2008</t>
  </si>
  <si>
    <t>Fire-fighting (ICS code(s): 13.220.10); Pumps (ICS code(s): 23.080)</t>
  </si>
  <si>
    <t>13.220.10 - Fire-fighting; 23.080 - Pumps; 13.220.10 - Fire-fighting; 23.080 - Pumps</t>
  </si>
  <si>
    <t>Notice of Administration Order of Saudi Food and Drug Authority Ref. No. 17689 dated 15 October 2024 entitled "Temporary ban on importation of poultry meat, eggs and their products originating from Podlaskie in Poland"</t>
  </si>
  <si>
    <t>Following the WOAH report dated 1 October 2024, a Newcastle disease outbreak has occurred in Podlaskie, Poland. In compliance with the World Organization for Animal Health (WOAH), Terrestrial Animal Health Code Chapter 10.9, it is deemed necessary for the Kingdom of Saudi Arabia to prevent the entry of Newcastle disease into the country. Therefore, the import of poultry meat, eggs and their products (with the exception of processed poultry meat and egg products exposed to either heat or other treatments that ensure deactivation of Newcastle disease) from Podlaskie  in Poland to the Kingdom of Saudi Arabia is temporarily suspended.</t>
  </si>
  <si>
    <t xml:space="preserve">Poultry meat, eggs and their products_x000D_
</t>
  </si>
  <si>
    <t>Human health; Animal health; Food safety; Animal diseases; Zoonoses; Newcastle Disease</t>
  </si>
  <si>
    <d:r xmlns:d="http://schemas.openxmlformats.org/spreadsheetml/2006/main">
      <d:rPr>
        <d:sz val="11"/>
        <d:rFont val="Calibri"/>
      </d:rPr>
      <d:t xml:space="preserve">https://members.wto.org/crnattachments/2024/SPS/SAU/24_07293_00_x.pdf</d:t>
    </d:r>
  </si>
  <si>
    <t>Draft Law of Ukraine “On Amendments to Certain Legislative Acts of Ukraine to Harmonize Them with the Legislation of European Union in the Field of Organic Production, Circulation and Labeling of Organic Products”</t>
  </si>
  <si>
    <t xml:space="preserve">The draft Law outlines the fundamental principles and requirements for organic production, circulation, and labeling of organic products, as well as establishes the legal and organizational framework for state control intended to verify compliance by operators and groups of operators with the legislation governing organic production, circulation, and labelling, and to oversee authorized certification bodies.It is developed to align the Law of Ukraine "On Basic Principles and Requirements for Organic Production, Circulation and Labeling of Organic Products" with the provisions of Regulation (EU) 2018/848 of the European Parliament and of the Council of 30 May 2018 on organic production and labelling of organic products and repealing Council Regulation (EC) No 834/2007._x000D_
The draft Law provides for the following:_x000D_
to expand the scope of legislation related to organic production, circulation and labeling of organic products by expanding the types of products that can be certified as organic;_x000D_
to extend mandatory certification requirements to businesses that sell organic products and/or products in the transition period directly to the end consumer, except for the sale of packaged organic products, products in the transition period, provided that these businesses do not engage in production, storage (except for storage related to the place of sale) or imports of such products, as well as do not delegate these activities to third parties on a contractual (tolling) basis;_x000D_
to increase the number of state registers in the field of organic production, circulation and labeling of organic products, specifically by establishing the State Register of Organic Animals and Aquaculture Young stock;_x000D_
to implement a system of state control in organic production, circulation and labeling of organic products, which provides for the authorization of certification bodies to conduct state control measures and supervision by the competent supervisory authority over authorized certification bodies, particularly in the form of annual audits;_x000D_
to implement a procedure for authorizing a certification body by the competent authority to conduct certain state control measures and other official activities;_x000D_
to authorise the competent authority to approve exceptions to organic production requirements by operators (groups of operators), as well as to approve a retrospective start date for the transition period;_x000D_
to introduce the possibility of certifying group of operators;_x000D_
to update the requirements to the List of products and substances permitted for use in organic production under certain conditions and the conditions of their use, aligning it with European legislation;_x000D_
to define the categories of organic products within which the certification of organic production and circulation of organic products is carried out, and according to which EU organic products are traded with third countries;_x000D_
to implement a reporting procedure on the areas of land used for organic production, as well as on the volumes of organic products produced, sold and imported;_x000D_
to provide for a clear mechanism for responding to cases of non-compliance or justified suspicion of non-compliance by operators and authorized certification bodies, including conducting an official investigation to determine the source and cause of the ingress of products or substances not permitted for use in organic production into organic products or products in the transition period;_x000D_
to align the labeling requirements for organic products and products containing organic ingredients with European legislation, in particular, to establish specific labeling provisions for hunting or fishing products containing organic ingredients.The draft Law also states that organic products and products in the transition period produced before the enactment of this Law, and labeled according to the legislation on organic production, circulation and labeling that was in effect prior to this Law, may be placed on the market and/or remain in circulation until  consumption end date, expiration date, minimum shelf life, or "use by" date (for food products), as well as until the end of the minimum storage period (for feed).</t>
  </si>
  <si>
    <t>Organic products</t>
  </si>
  <si>
    <t>Consumer information, labelling (TBT); Prevention of deceptive practices and consumer protection (TBT); Protection of human health or safety (TBT); Protection of animal or plant life or health (TBT); Protection of the environment (TBT); Quality requirements (TBT); Harmonization (TBT)</t>
  </si>
  <si>
    <d:r xmlns:d="http://schemas.openxmlformats.org/spreadsheetml/2006/main">
      <d:rPr>
        <d:sz val="11"/>
        <d:rFont val="Calibri"/>
      </d:rPr>
      <d:t xml:space="preserve">https://members.wto.org/crnattachments/2024/TBT/UKR/24_07288_00_x.pdf</d:t>
    </d:r>
  </si>
  <si>
    <t>Marketing Requirements of Food directed to Children</t>
  </si>
  <si>
    <t>This regulation is concerned with the requirements for regulating advertising directed to children under the age of eighteen for packaged foods and meals served in food establishments</t>
  </si>
  <si>
    <d:r xmlns:d="http://schemas.openxmlformats.org/spreadsheetml/2006/main">
      <d:rPr>
        <d:sz val="11"/>
        <d:rFont val="Calibri"/>
      </d:rPr>
      <d:t xml:space="preserve">https://members.wto.org/crnattachments/2024/TBT/SAU/24_07192_00_x.pdf</d:t>
    </d:r>
  </si>
  <si>
    <t>Draft - Establishes the phytosanitary requirements for the import of tubers (Category 3) of potatoes (Solanum tuberosum) for consumption and processing produced in Ecuador</t>
  </si>
  <si>
    <t>This draft establishes the phytosanitary requirements for the import of tubers (Category 3) of potatoes (Solanum tuberosum) for consumption and processing produced in Ecuador.</t>
  </si>
  <si>
    <t>Potatoes (Solanum tuberosum</t>
  </si>
  <si>
    <d:r xmlns:d="http://schemas.openxmlformats.org/spreadsheetml/2006/main">
      <d:rPr>
        <d:sz val="11"/>
        <d:rFont val="Calibri"/>
      </d:rPr>
      <d:t xml:space="preserve">https://members.wto.org/crnattachments/2024/SPS/BRA/24_07158_00_x.pdf</d:t>
    </d:r>
  </si>
  <si>
    <t>Road vehicles – Passenger car wheels – Technical requirements</t>
  </si>
  <si>
    <t>Specifies the technical requirements and markings for new replacement wheels designed for passenger cars (M1), multi-purpose vehicles, light trucks (N1) (include off-road vehicles M1G and N1G) and trailers (O1 and O2) is which use passenger car wheels but not exceed 3500 kg.</t>
  </si>
  <si>
    <t>Transmissions, suspensions (ICS code(s): 43.040.50)</t>
  </si>
  <si>
    <t>43.040.50 - Transmissions, suspensions</t>
  </si>
  <si>
    <d:r xmlns:d="http://schemas.openxmlformats.org/spreadsheetml/2006/main">
      <d:rPr>
        <d:sz val="11"/>
        <d:rFont val="Calibri"/>
      </d:rPr>
      <d:t xml:space="preserve">https://members.wto.org/crnattachments/2024/TBT/SAU/24_07178_00_e.pdf</d:t>
    </d:r>
  </si>
  <si>
    <t>Amendment to Normative Instruction No. 14, 8 February 2018</t>
  </si>
  <si>
    <t>Ministry of Agriculture and Livestock – MAPA issued the Ordinance No. 723, 9 October 2024, that amends the complementation of the standards of identity and quality of wines and derivatives of grape and wine.Revokes the item "c" of section III of the caput of art. 89 of Normative Instruction No. 14, 8 February 2018.</t>
  </si>
  <si>
    <t xml:space="preserve">Wine (HS 2204); Grapejuice, sweetened or not (HS 200960); Vinegar (HS 220900). Wine of fresh grapes, including fortified wines; grape must other than that of heading 20.09. (HS 2204), Vinegar and substitutes for vinegar obtained from acetic acid. (HS 220900)_x000D_
</t>
  </si>
  <si>
    <t>2204 - Wine of fresh grapes, incl. fortified wines; grape must, partly fermented and of an actual alcoholic strength of &gt; 0,5% vol or grape must with added alcohol of an actual alcoholic strength of &gt; 0,5% vol; 20096 - - Grape juice (including grape must):; 220900 - Vinegar, fermented vinegar and substitutes for vinegar obtained from acetic acid; 2204 - Wine of fresh grapes, incl. fortified wines; grape must, partly fermented and of an actual alcoholic strength of &gt; 0,5% vol or grape must with added alcohol of an actual alcoholic strength of &gt; 0,5% vol; 20096 - - Grape juice (including grape must):; 220900 - Vinegar, fermented vinegar and substitutes for vinegar obtained from acetic acid</t>
  </si>
  <si>
    <t>67.160.10 - Alcoholic beverages; 67.160.10 - Alcoholic beverages; 67.160.20 - Non-alcoholic beverages; 67.160.20 - Non-alcoholic beverages; 67.220.20 - Food additives; 67.220.20 - Food additives</t>
  </si>
  <si>
    <d:r xmlns:d="http://schemas.openxmlformats.org/spreadsheetml/2006/main">
      <d:rPr>
        <d:sz val="11"/>
        <d:rFont val="Calibri"/>
      </d:rPr>
      <d:t xml:space="preserve">https://www.in.gov.br/web/dou/-/portaria-mapa-n-723-de-9-de-outubro-de-2024-589495723
</d:t>
    </d:r>
  </si>
  <si>
    <t>DEAS 780: 2022, Fresh cassava leaves — Specification, Second Edition</t>
  </si>
  <si>
    <t>The aim of this addendum is to update WTO Members that the Draft East African Standard, DEAS 780: 2022, Fresh cassava leaves — Specification, Second Edition notified in  G/TBT/N/BDI/250, G/TBT/N/KEN/1271, G/TBT/N/RWA/680, G/TBT/N/TZA/804 and G/TBT/N/UGA/1652 was adopted by Uganda on 6 August 2024 as a Uganda Standard, US EAS 780:2023, Fresh cassava leaves — Specification, Second Edition. The Uganda Standard, US EAS 780:2023, Fresh cassava leaves — Specification, Second Edition, can be purchased online through the link: https://webstore.unbs.go.ug/</t>
  </si>
  <si>
    <t>- Other vegetables (HS code(s): 071080); Vegetables and derived products (ICS code(s): 67.080.20), Fresh cassava leaves</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</si>
  <si>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Quality requirements (TBT); Quality requirements (TBT); Harmonization (TBT); Harmonization (TBT); Reducing trade barriers and facilitating trade (TBT); Reducing trade barriers and facilitating trade (TBT); Cost saving and productivity enhancement (TBT); Cost saving and productivity enhancement (TBT)</t>
  </si>
  <si>
    <t>DEAS 771: 2022 Fresh sweet potato — Specification</t>
  </si>
  <si>
    <t>The aim of this addendum is to update WTO Members that the Draft East African Standard, DEAS 771: 2022 Fresh sweet potato — Specification notified in  G/TBT/N/BDI/284, G/TBT/N/KEN/1318, G/TBT/N/RWA/718, G/TBT/N/TZA/837 and G/TBT/N/UGA/1692  was adopted by Uganda on 6 August 2024 as a Uganda Standard, US EAS 771:2023 Fresh sweet potato — Specification, Second Edition. The Uganda Standard, US EAS 771:2023 Fresh sweet potato — Specification, Second Edition, can be purchased online through the link: https://webstore.unbs.go.ug/</t>
  </si>
  <si>
    <t>Vegetables and derived products (ICS code(s): 67.080.20)</t>
  </si>
  <si>
    <t>DEAS 776: 2022 Production and handling of fresh cassava root — Code of practice</t>
  </si>
  <si>
    <t>The aim of this addendum is to update WTO Members that the Draft East African Standard, DEAS 776: 2022 Production and handling of fresh cassava root — Code of practice notified in  G/TBT/N/BDI/282, G/TBT/N/KEN/1316, G/TBT/N/RWA/716, G/TBT/N/TZA/835, G/TBT/N/UGA/1690, G/TBT/N/BDI/282/Add.1, G/TBT/N/KEN/1316/Add.1, G/TBT/N/RWA/716/Add.1, G/TBT/N/TZA/835/Add.1 and G/TBT/N/UGA/1690/Add.1 was adopted by Uganda on 6 August 2024 as a Uganda Standard, US EAS 776:2023 Production and handling of fresh cassava root — Code of practice, Second Edition. The Uganda Standard, US EAS 776:2023 Production and handling of fresh cassava root — Code of practice, Second Edition, can be purchased online through the link: https://webstore.unbs.go.ug/</t>
  </si>
  <si>
    <t>The aim of this addendum is to update WTO Members that the Draft East African Standard, DEAS 948: 2022, Fruit juices, puree, pulp and nectars — Specification, Second Edition notified in  G/TBT/N/BDI/287, G/TBT/N/KEN/1321, G/TBT/N/RWA/721, G/TBT/N/TZA/840, G/TBT/N/UGA/1695, G/TBT/N/BDI/287/Add.1, G/TBT/N/KEN/1321/Add.1, G/TBT/N/RWA/721/Add.1, G/TBT/N/TZA/840/Add.1 and G/TBT/N/UGA/1695/Add.1 was adopted by Uganda on 6 August 2024 as a Uganda Standard, US EAS 948:2023, Fruit juices, puree, pulp and nectars — Specification, Second Edition. The Uganda Standard, US EAS 948:2023, Fruit juices, puree, pulp and nectars — Specification, Second Edition, can be purchased online through the link: https://webstore.unbs.go.ug/</t>
  </si>
  <si>
    <t>Consumer information, labelling (TBT); Consumer information, labelling (TBT); Protection of human health or safety (TBT); Protection of human health or safety (TBT); Quality requirements (TBT); Quality requirements (TBT); Reducing trade barriers and facilitating trade (TBT); Reducing trade barriers and facilitating trade (TBT)</t>
  </si>
  <si>
    <t>The aim of this addendum is to update WTO Members that the Draft East African Standard, DEAS 1106: 2022, Banana flour — Specification, First Edition notified in  G/TBT/N/BDI/286, G/TBT/N/KEN/1320, G/TBT/N/RWA/720, G/TBT/N/TZA/839, G/TBT/N/UGA/1694, G/TBT/N/BDI/286/Add.1, G/TBT/N/KEN/1320/Add.1, G/TBT/N/RWA/720/Add.1, G/TBT/N/TZA/839/Add.1 and G/TBT/N/UGA/1694/Add.1  was adopted by Uganda on 6 August 2024 as a Uganda Standard, US EAS 1106:2023, Banana flour — Specification, First Edition. The Uganda Standard, US EAS 340:2022, Nail polish — Specification, Second Edition, can be purchased online through the link: https://webstore.unbs.go.ug/</t>
  </si>
  <si>
    <t>Fruits, vegetables and derived products in general (ICS code(s): 67.080.01)</t>
  </si>
  <si>
    <t>67.080.01 - Fruits, vegetables and derived products in general; 67.080.01 - Fruits, vegetables and derived products in general</t>
  </si>
  <si>
    <t xml:space="preserve">On 15 June 2022, Kingdom of Saudi Arabia notified the WTO (G/TBT/N/SAU/1248) on this regulation. This addendum includes modifications as shown in the following: _x000D_
- Complementary References (provision no.2)._x000D_
- List of not Permitted nutrition and health Claims to be Used on Foods (provision no.5)._x000D_
- Editorial amendment (Table 1).</t>
  </si>
  <si>
    <d:r xmlns:d="http://schemas.openxmlformats.org/spreadsheetml/2006/main">
      <d:rPr>
        <d:sz val="11"/>
        <d:rFont val="Calibri"/>
      </d:rPr>
      <d:t xml:space="preserve">This addendum includes modifications as shown in the following: 
-_x0009_Complementary References (provision no.2).
-_x0009_List of not Permitted nutrition and health Claims to be Used on Foods (provision no.5).
-_x0009_Editorial amendment (Table 1).
</d:t>
    </d:r>
  </si>
  <si>
    <t>Infants Formula, Follow on Formula for Older Infants and Product for Young Children and Formulas for Special Medical Purposes.</t>
  </si>
  <si>
    <t>This draft technical regulation applies to the requirements for infants formula, follow on formula for older infants and product for young children and formulas for special medical purposes.</t>
  </si>
  <si>
    <d:r xmlns:d="http://schemas.openxmlformats.org/spreadsheetml/2006/main">
      <d:rPr>
        <d:sz val="11"/>
        <d:rFont val="Calibri"/>
      </d:rPr>
      <d:t xml:space="preserve">https://members.wto.org/crnattachments/2024/TBT/SAU/24_07199_00_x.pdf</d:t>
    </d:r>
  </si>
  <si>
    <t>DUS DEAS 1060:2021, Canned vegetables — Specification, First Edition</t>
  </si>
  <si>
    <t>The aim of this addendum is to inform WTO Members that the Draft Uganda Standard; DUS DEAS 1060:2021, Canned vegetables — Specification, First Edition; notified in G/TBT/N/UGA/1341 was adopted on 6 August 2024. The adopted Uganda Standard, US EAS 1060:2023, Canned vegetables — Specification, First Edition, can be purchased online through the link: https://webstore.unbs.go.ug/</t>
  </si>
  <si>
    <t>Canned vegetables</t>
  </si>
  <si>
    <t>Consumer information, labelling (TBT); Prevention of deceptive practices and consumer protection (TBT); Protection of human health or safety (TBT); Protection of the environment (TBT); Quality requirements (TBT); Reducing trade barriers and facilitating trade (TBT)</t>
  </si>
  <si>
    <d:r xmlns:d="http://schemas.openxmlformats.org/spreadsheetml/2006/main">
      <d:rPr>
        <d:sz val="11"/>
        <d:rFont val="Calibri"/>
      </d:rPr>
      <d:t xml:space="preserve">https://webstore.unbs.go.ug/</d:t>
    </d:r>
  </si>
  <si>
    <t xml:space="preserve">On 13 November 2018, The Kingdom of Saudi Arabia notified the WTO (G/TBT/N/SAU/1095) on this regulation. This addendum includes new definitions and modifications as shown in the following: _x000D_
- Complementary References (provision no.2)._x000D_
- Definitions (provision no.3)._x000D_
- General requirements (provision no.4)._x000D_
- Supplementary (additional) Nutrition Information (provision no.6).</t>
  </si>
  <si>
    <t>Nutrition information; Labelling; Labelling; Nutrition information; Labelling</t>
  </si>
  <si>
    <d:r xmlns:d="http://schemas.openxmlformats.org/spreadsheetml/2006/main">
      <d:rPr>
        <d:sz val="11"/>
        <d:rFont val="Calibri"/>
      </d:rPr>
      <d:t xml:space="preserve">This addendum includes new definitions and modifications as shown in the following: 
-_x0009_Complementary References (provision no.2).
-_x0009_Definitions (provision no.3).
-_x0009_General requirements (provision no.4).
-_x0009_Supplementary (additional) Nutrition Information (provision no.6).
</d:t>
    </d:r>
  </si>
  <si>
    <t>DEAS 775: 2022 Production and handling ware potato tuber — Code of Practice</t>
  </si>
  <si>
    <t>The aim of this addendum is to update WTO Members that the Draft East African Standard, DEAS 775: 2022 Production and handling ware potato tuber — Code of Practice notified in  G/TBT/N/BDI/283, G/TBT/N/KEN/1317, G/TBT/N/RWA/717, G/TBT/N/TZA/836, G/TBT/N/UGA/1691, G/TBT/N/BDI/283/Add.1, G/TBT/N/KEN/1317/Add.1, G/TBT/N/RWA/717/Add.1, G/TBT/N/TZA/836/Add.1 and G/TBT/N/UGA/1691/Add.1  was adopted by Uganda on 6 August 2024 as a Uganda Standard, US EAS 775:2023 Production and handling ware potato tuber — Code of Practice, Second Edition. The Uganda Standard, US EAS 775:2023 Production and handling ware potato tuber — Code of Practice, Second Edition, can be purchased online through the link: https://webstore.unbs.go.ug/</t>
  </si>
  <si>
    <t>DEAS 946: 2022, Dried fruits — Specification, Second Edition </t>
  </si>
  <si>
    <t>The aim of this addendum is to update WTO Members that the Draft East African Standard, DEAS 946: 2022, Dried fruits — Specification, Second Edition notified in  G/TBT/N/BDI/288, G/TBT/N/KEN/1322, G/TBT/N/RWA/722, G/TBT/N/TZA/841, G/TBT/N/UGA/1696, G/TBT/N/BDI/288/Add.1, G/TBT/N/KEN/1322/Add.1, G/TBT/N/RWA/722/Add.1, G/TBT/N/TZA/841/Add.1 and G/TBT/N/UGA/1696/Add.1 was adopted by Uganda on 6 August 2024 as a Uganda Standard, US EAS 946:2023, Dried fruits — Specification, Second Edition. The Uganda Standard, US EAS 946:2023, Dried fruits — Specification, Second Edition , can be purchased online through the link: https://webstore.unbs.go.ug/</t>
  </si>
  <si>
    <t>- Other fruit (HS code(s): 081340); Fruits and derived products (ICS code(s): 67.080.10)</t>
  </si>
  <si>
    <t>DEAS 778: 2022 Fresh bitter cassava roots — Specification</t>
  </si>
  <si>
    <t>The aim of this addendum is to update WTO Members that the Draft East African Standard, DEAS 778: 2022 Fresh bitter cassava roots — Specification notified in  G/TBT/N/BDI/281, G/TBT/N/KEN/1315, G/TBT/N/RWA/715, G/TBT/N/TZA/834, G/TBT/N/UGA/1689, G/TBT/N/BDI/281/Add.1, G/TBT/N/KEN/1315/Add.1, G/TBT/N/RWA/715/Add.1, G/TBT/N/TZA/834/Add.1 and G/TBT/N/UGA/1689/Add.1 was adopted by Uganda on 6 August 2024 as a Uganda Standard, US EAS 778:2023 Fresh bitter cassava roots — Specification, Second Edition. The Uganda Standard, US EAS 778:2023 Fresh bitter cassava roots — Specification, Second Edition, can be purchased online through the link: https://webstore.unbs.go.ug/</t>
  </si>
  <si>
    <t>DEAS 738: 2022 Fresh sweet cassava roots — Specification</t>
  </si>
  <si>
    <t>The aim of this addendum is to update WTO Members that the Draft East African Standard, DEAS 738: 2022 Fresh sweet cassava roots — Specification notified in  G/TBT/N/BDI/285, G/TBT/N/KEN/1319, G/TBT/N/RWA/719, G/TBT/N/TZA/838, G/TBT/N/UGA/1693, G/TBT/N/BDI/285/Add.1, G/TBT/N/KEN/1319/Add.1, G/TBT/N/RWA/719/Add.1, G/TBT/N/TZA/838/Add.1 and G/TBT/N/UGA/1693/Add.1 was adopted by Uganda on 6 August 2024 as a Uganda Standard, US EAS 738:2023 Fresh sweet cassava roots — Specification, Second Edition. The Uganda Standard, US EAS 738:2023 Fresh sweet cassava roots — Specification, Second Edition, can be purchased online through the link: https://webstore.unbs.go.ug/</t>
  </si>
  <si>
    <t>Heavy-Duty Engine and Vehicle Omnibus Rule Update 2024</t>
  </si>
  <si>
    <t>The Oregon Department of Environmental Quality will hold a virtual meeting on Monday, 28 October, to answer questions about delaying the launch of the Heavy-Duty Low NOx Omnibus Rule and incorporating minor amendments to the Advanced Clean Trucks Rule.The proposed temporary rules will be considered by the Environmental Quality Commission at their November 2024 meeting. The two components are as follows:The Heavy-Duty Low NOx Omnibus Rule - Requires conventionally fueled heavy-duty vehicle and engine manufacturers to meet tougher oxides of nitrogen and particulate matter emission standards. Start of implementation would move from the 2025 engine model year to the 2026 engine model year.The Advanced Clean Trucks Rule - Requires manufacturers of medium- and heavy-duty vehicles to sell a certain percentage of zero-emission vehicles in Oregon beginning with the 2025 vehicle model year. Changes include incorporation of additional options for manufacturers to meet rule requirements.If adopted, the new, temporary rules would be in effect for six months. DEQ plans to bring a permanent rule proposal to the Environmental Quality Commission in 2025. The process will include bringing together an advisory committee and seeking formal public comment on the changes.This event is open to all members of the public. Details are as follows:Clean Truck Rule Implementation ForumMonday, 28 October 2024, 10:30 a.m. - noonPacific TimeFrom a PC, Mac, iPad, iPhone or Android deviceJoin via ZoomJoin by phone: +1 253 215 8782 US (Tacoma) Toll Free: 888 475 4499Meeting ID: 860 6171 4646, Passcode: 539712   Instructions for joining webinar or teleconference: InstructionsAdditional Information:Updated Medium- and Heavy-Duty Vehicle FAQ documentOregon DEQ Clean Truck Rules 2021 rulemaking documents</t>
  </si>
  <si>
    <t>Heavy-duty engines; Environmental protection (ICS code(s): 13.020); Transport exhaust emissions (ICS code(s): 13.040.50)</t>
  </si>
  <si>
    <t>13.020 - Environmental protection; 13.040.50 - Transport exhaust emissions; 13.020 - Environmental protection; 13.040.50 - Transport exhaust emissions</t>
  </si>
  <si>
    <t>The aim of this addendum is to update WTO Members that the Draft East African Standard, DEAS 802:2022, Textured soya protein products — Specification, Second Edition notified in  G/TBT/N/BDI/308, G/TBT/N/KEN/1354, G/TBT/N/RWA/749, G/TBT/N/TZA/872, G/TBT/N/UGA/1719, G/TBT/N/BDI/308/Add.1, G/TBT/N/KEN/1354/Add.1, G/TBT/N/RWA/749/Add.1, G/TBT/N/TZA/872/Add.1 and G/TBT/N/UGA/1719/Add.1 was adopted by Uganda on 6 August 2024 as a Uganda Standard, US EAS 802:2023, Textured soya protein products — Specification, Second Edition. The Uganda Standard, US EAS 802:2023, Textured soya protein products — Specification, Second Edition, can be purchased online through the link: https://webstore.unbs.go.ug/</t>
  </si>
  <si>
    <t>Documento No 38393369 -INTERNATIONAL HEALTH CERTIFICATION WITH THE USE OF ELECTRONIC SIGNATURE</t>
  </si>
  <si>
    <t xml:space="preserve">The Department of Inspection of Products of Animal Origin (DIPOA), of the Ministry of Agriculture and Livestock of Brazil, implemented, in its computerized system, a new security tool regarding the authenticity of Transit Documents, allowing the issuance of International Sanitary Certificates (CSI) for edible and non-edible products of animal origin, originating from establishments registered with the Federal Inspection Service - SIF, with the use of electronic signature.The new security tool implemented includes:a) Electronic signature: International Sanitary Certificates will be signed electronically, with two-factor verification by the system, recording the full name of the official server responsible for issuing them, their position and the number of their Functional Identification Card (CIF), in addition to the date and time the certificate was approved in the system;b) QR Code for checking the Sanitary Certificate issued: allows verification and security of the information validated by the Service.With the implementation of this new tool, the sanitary certificate is issued in PDF format, with greater agility, security and sustainability, eliminating the need for printing, manual signature and application of stamps.In this notification, the Department of Inspection of Products of Animal Origin (DIPOA), of the Ministry of Agriculture and Livestock of Brazil, announces that the International Sanitary Certificates of standard model (used for exports to countries with which Brazil does not have a bilaterally agreed certificate model) will now be issued with electronic signature, maintaining manual signature and stamps only in cases where the system is unavailable (contingency measure)._x000D_
Finally, we inform the countries importing products of animal origin and products for animal feed that a period of 180 days will be given for entry into force, starting from the date of publication in the WTO.</t>
  </si>
  <si>
    <t>Animal health; Human health; Animal diseases</t>
  </si>
  <si>
    <d:r xmlns:d="http://schemas.openxmlformats.org/spreadsheetml/2006/main">
      <d:rPr>
        <d:sz val="11"/>
        <d:rFont val="Calibri"/>
      </d:rPr>
      <d:t xml:space="preserve">https://members.wto.org/crnattachments/2024/SPS/BRA/24_07157_00_x.pdf</d:t>
    </d:r>
  </si>
  <si>
    <t>Road vehicles – Passenger car wheels – Test methods</t>
  </si>
  <si>
    <t>Specifies the test methods for new replacement wheels designed for passenger cars (M1), multi-purpose vehicles, light trucks(N1) (include off-road vehicles M1G and N1G) and trailers (O1 and O2) is which use passenger car wheels but not exceed 3500 kg.</t>
  </si>
  <si>
    <d:r xmlns:d="http://schemas.openxmlformats.org/spreadsheetml/2006/main">
      <d:rPr>
        <d:sz val="11"/>
        <d:rFont val="Calibri"/>
      </d:rPr>
      <d:t xml:space="preserve">https://members.wto.org/crnattachments/2024/TBT/SAU/24_07185_00_e.pdf</d:t>
    </d:r>
  </si>
  <si>
    <t>Consumer information, labelling (TBT); Consumer information, labelling (TBT); Protection of human health or safety (TBT); Protection of human health or safety (TBT); Quality requirements (TBT); Quality requirements (TBT); Harmonization (TBT); Harmonization (TBT); Reducing trade barriers and facilitating trade (TBT); Reducing trade barriers and facilitating trade (TBT)</t>
  </si>
  <si>
    <t>Turkish Food Codex Communiqué on Implementation on Novel Foods</t>
  </si>
  <si>
    <t>This Communiqué lays down the procedures and principles for the procedure to be applied during the consultation process for determining whether the Turkish Food Codex Regulation on Novel Foods covers a food. In addition, the necessary administrative and scientific requirements are determined in applications for novel foods and traditional foods from other countries.</t>
  </si>
  <si>
    <t>Novel foods</t>
  </si>
  <si>
    <d:r xmlns:d="http://schemas.openxmlformats.org/spreadsheetml/2006/main">
      <d:rPr>
        <d:sz val="11"/>
        <d:rFont val="Calibri"/>
      </d:rPr>
      <d:t xml:space="preserve">https://members.wto.org/crnattachments/2024/SPS/TUR/24_07206_00_x.pdf</d:t>
    </d:r>
  </si>
  <si>
    <t>DUS DEAS 1061:2021, Canned fruit cocktail — Specification, First Edition</t>
  </si>
  <si>
    <t>The aim of this addendum is to inform WTO Members that the Draft Uganda Standard; DUS DEAS 1061:2021, Canned fruit cocktail — Specification, First Edition; notified in G/TBT/N/UGA/1342 was adopted on 6 August 2024. The adopted Uganda Standard, US EAS 1061:2023, Canned fruit cocktail — Specification, First Edition, can be purchased online through the link: https://webstore.unbs.go.ug/</t>
  </si>
  <si>
    <t>Canned fruit cocktail</t>
  </si>
  <si>
    <t>200899 - 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 200899 - 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t>
  </si>
  <si>
    <t>Proactive Release: Cabinet paper removing barriers to overseas building products</t>
  </si>
  <si>
    <t>The Building (Overseas Building Products, Standards, and Certification Schemes) Amendment Bill (the Bill) responds to competition issues in the building and construction sector by amending the Building Act 2004 (the Act) to remove barriers to overseas building products entering the New Zealand building product market and being used in New Zealand buildings. It does so by:providing that the Minister for Building and Construction may by notice recognise overseas standards and standards certification schemesstreamlining the citing of international standards that can be used with Acceptable Solutions and Verification Methods to comply with the Building Coderequiring building consent authorities to accept building products and methods certified under an overseas product certification scheme and recognised by the Chief Executive of the Ministry of Business, Innovation and Employment (MBIE) by notice. </t>
  </si>
  <si>
    <t>The proposed legislative changes will apply to products identified as either a "building product" or "building method". Under the Building Act 2004, "Building product" means a product that could reasonably be expected to be used as a component of a building. "Building method" means a method for using one or more products or things as part of building work.</t>
  </si>
  <si>
    <t>91.060 - Elements of buildings; 91.060 - Elements of buildings; 91.080 - Structures of buildings; 91.080 - Structures of buildings; 91.100 - Construction materials; 91.100 - Construction materials</t>
  </si>
  <si>
    <t>Reducing trade barriers and facilitating trade (TBT)</t>
  </si>
  <si>
    <d:r xmlns:d="http://schemas.openxmlformats.org/spreadsheetml/2006/main">
      <d:rPr>
        <d:sz val="11"/>
        <d:rFont val="Calibri"/>
      </d:rPr>
      <d:t xml:space="preserve">https://www.legislation.govt.nz/bill/government/2024/0076/latest/LMS986756.html?search=y_bill%40bill_2024__bc%40bcur_an%40bn%40rn_25_y&amp;p=1
The final design of the amendments to the Building Act 2004 are subject to the Parliamentary process.
</d:t>
    </d:r>
  </si>
  <si>
    <t>Draft - Establishes the phytosanitary requirements for the importation of propagative material (Category 4) of gypsophila (Gypsophila spp.) from any origin</t>
  </si>
  <si>
    <t>This draft establishes the phytosanitary requirements for the importation of propagative material (Category 4) of gypsophila (Gypsophila spp.) from any origin.</t>
  </si>
  <si>
    <t>Gypsophila (Gypsophila spp.)</t>
  </si>
  <si>
    <d:r xmlns:d="http://schemas.openxmlformats.org/spreadsheetml/2006/main">
      <d:rPr>
        <d:sz val="11"/>
        <d:rFont val="Calibri"/>
      </d:rPr>
      <d:t xml:space="preserve">https://members.wto.org/crnattachments/2024/SPS/BRA/24_07159_00_e.pdf
https://members.wto.org/crnattachments/2024/SPS/BRA/24_07159_00_x.pdf</d:t>
    </d:r>
  </si>
  <si>
    <t>Proyecto de resolución "Por medio de la cual se establecen los requisitos fitosanitarios para la importación a Colombia de plantas de Kalanchoe de origen y procedencia de Países Bajos" (Draft Resolution establishing phytosanitary requirements for the importation into Colombia of Kalanchoe plants originating in and coming from the Netherlands).</t>
  </si>
  <si>
    <t>The notified draft Resolution establishes the phytosanitary requirements for the importation into Colombia of Kalanchoe plants originating in and coming from the Netherlands.</t>
  </si>
  <si>
    <t>The Netherlands</t>
  </si>
  <si>
    <d:r xmlns:d="http://schemas.openxmlformats.org/spreadsheetml/2006/main">
      <d:rPr>
        <d:sz val="11"/>
        <d:rFont val="Calibri"/>
      </d:rPr>
      <d:t xml:space="preserve">https://members.wto.org/crnattachments/2024/SPS/COL/24_07283_00_s.pdf
https://www.sucop.gov.co/entidades/ica/Normativa?IDNorma=18330</d:t>
    </d:r>
  </si>
  <si>
    <t>Proyecto de resolución "Por medio de la cual se establecen los requisitos fitosanitarios para la importación a Colombia de plantas in vitro - ex agar de Ranunculus asiaticus para uso comercial de origen y procedencia India" (Draft Resolution establishing phytosanitary requirements for the importation into Colombia of in vitro - ex agar Ranunculus asiaticus plants for commercial use originating in and coming from India)</t>
  </si>
  <si>
    <t>The notified draft Resolution establishes phytosanitary requirements for the importation into Colombia of in vitro - ex agar Ranunculus asiaticus plants for commercial use originating in and coming from India.</t>
  </si>
  <si>
    <t>In vitro - ex agar Ranunculus asiaticus plants</t>
  </si>
  <si>
    <d:r xmlns:d="http://schemas.openxmlformats.org/spreadsheetml/2006/main">
      <d:rPr>
        <d:sz val="11"/>
        <d:rFont val="Calibri"/>
      </d:rPr>
      <d:t xml:space="preserve">https://members.wto.org/crnattachments/2024/SPS/COL/24_07282_00_s.pdf
https://www.sucop.gov.co/entidades/ica/Normativa?IDNorma=18334</d:t>
    </d:r>
  </si>
  <si>
    <t>Draft - Establishes the phytosanitary requirements for the import of tubers (Category 4) of potatoes (Solanum tuberosum) for propagation produced in Denmark</t>
  </si>
  <si>
    <t>This draft establishes the phytosanitary requirements for the import of tubers (Category 4) of potatoes (Solanum tuberosum) for propagation produced in Denmark.</t>
  </si>
  <si>
    <d:r xmlns:d="http://schemas.openxmlformats.org/spreadsheetml/2006/main">
      <d:rPr>
        <d:sz val="11"/>
        <d:rFont val="Calibri"/>
      </d:rPr>
      <d:t xml:space="preserve">https://members.wto.org/crnattachments/2024/SPS/BRA/24_07156_00_e.pdf
https://members.wto.org/crnattachments/2024/SPS/BRA/24_07156_00_x.pdf</d:t>
    </d:r>
  </si>
  <si>
    <d:r xmlns:d="http://schemas.openxmlformats.org/spreadsheetml/2006/main">
      <d:rPr>
        <d:sz val="11"/>
        <d:rFont val="Calibri"/>
      </d:rPr>
      <d:t xml:space="preserve">https://members.wto.org/crnattachments/2024/TBT/TUR/24_07278_00_x.pdf</d:t>
    </d:r>
  </si>
  <si>
    <t>Draft - Establishes the phytosanitary requirements for the import of tubers (Category 4) of potatoes (Solanum tuberosum) for propagation produced in Germany</t>
  </si>
  <si>
    <t>This draft establishes the phytosanitary requirements for the import of tubers (Category 4) of potatoes (Solanum tuberosum) for propagation produced in Germany.</t>
  </si>
  <si>
    <d:r xmlns:d="http://schemas.openxmlformats.org/spreadsheetml/2006/main">
      <d:rPr>
        <d:sz val="11"/>
        <d:rFont val="Calibri"/>
      </d:rPr>
      <d:t xml:space="preserve">https://members.wto.org/crnattachments/2024/SPS/BRA/24_07160_00_e.pdf
https://members.wto.org/crnattachments/2024/SPS/BRA/24_07160_00_x.pdf</d:t>
    </d:r>
  </si>
  <si>
    <t>Proyecto de Real Decreto por el que se regulan las denominaciones comerciales nacionales y las denominaciones de alimentos en conserva o preparados aplicables en España a los productos de la pesca y de la acuicultura (Draft Royal Decree regulating national trade names and designations of preserved and prepared foods applicable in Spain to fishery and aquaculture products); (74 page(s), in Spanish) G/TBT/N/ESP/51 - 2 -</t>
  </si>
  <si>
    <t>• The notified draft decree contains the following: Preamble • Objectives (Article 1). • Definitions (Article 2). • Prerequisites for the sale of fishery and aquaculture products to the final consumer or to mass caterers (Article 3). • Annual review of the list of national trade names and designations of preserved or prepared foods applicable to fishery and aquaculture products accepted in Spain (Article 4). • Procedure for reviewing and updating the list of national trade names and designations of preserved and prepared foods accepted in Spain applicable to fishery and aquaculture products at the request of operators (Article 5). • Administrative cooperation (Article 6). • Sanctions (Article 7). • First additional provision, establishing the single market clause. • Second additional provision, regulating the use of alternative food denominations for preserved products made with Sardina pilchardus, Trachurus spp, Auxis rochei, Auxis thazard, Merluccius spp and Macruronus spp. • Sole transitional provision, relating to the transitional arrangements for the marketing of stocks of preserved and prepared and labelled packaging. • Sole repealing provision, repealing certain regulations. • First final provision, establishing an amendment to Articles 3 and 4 of Royal Decree No. 1521/1984, of 1 August, approving the Technical and Sanitary Regulations for Fishery and Aquaculture Establishments and Products for Human Consumption. • Second final provision, establishing jurisdictional capacity. • Third final provision, establishing implementation authority. • Fourth final provision, providing for the entry into force of the draft Royal Decree. • Annex, containing the trade names and designations of preserved or prepared foods applicable in Spain to fishery and aquaculture products.</t>
  </si>
  <si>
    <t>Live fish (HS code(s): 03.01); Edible fish, fresh or chilled (excl. fish fillets and other fish meat of heading 03.04) (HS Code(s): 03.02); Edible fish, frozen (excl. fish fillets and other fish meat of heading 03.04) (HS Code(s): 03.03); Fish fillets and other fish meat (whether or not minced), fresh, chilled or frozen (HS Code(s): 03.04); Fish, dried, salted or in brine; smoked fish, whether or not cooked before or during the smoking process; flours, meals and pellets of fish, fit for human consumption (HS Code(s): 03.05); Crustaceans, whether in shell or not, live, fresh, chilled, frozen, dried, salted or in brine; smoked crustaceans; crustaceans, in shell, cooked by steaming or by boiling in water (HS Code(s): 03.06); Molluscs fit for human consumption, including smoked molluscs, whether in shell or not, live, fresh, chilled, frozen, dried, salted or in brine (HS Code(s): 03.07); - Seaweeds and other algae (HS Code(s): 1212.2); Prepared or preserved fish; caviar and caviar substitutes prepared from fish eggs (HS Code(s): 16.04); Crustaceans, molluscs and other aquatic invertebrates, prepared or preserved (but not smoked) (HS Code(s): 16.05)</t>
  </si>
  <si>
    <t>0301 - Live fish; 0302 - Fish, fresh or chilled (excl. fish fillets and other fish meat of heading 0304);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12122 - - Seaweeds and other algae:; 1604 - Prepared or preserved fish; caviar and caviar substitutes prepared from fish eggs; 1605 - Crustaceans, molluscs and other aquatic invertebrates, prepared or preserved (excl. smoked)</t>
  </si>
  <si>
    <d:r xmlns:d="http://schemas.openxmlformats.org/spreadsheetml/2006/main">
      <d:rPr>
        <d:sz val="11"/>
        <d:rFont val="Calibri"/>
      </d:rPr>
      <d:t xml:space="preserve">https://members.wto.org/crnattachments/2024/TBT/ESP/24_07279_00_s.pdf</d:t>
    </d:r>
  </si>
  <si>
    <t>Proyecto de Resolución para regular la importación de esquejes enraizados de Echinopsis spp. para propagación originarias de China (Draft Resolution governing the importation of rooted Echinopsis spp. cuttings for propagation originating in China).</t>
  </si>
  <si>
    <t>The notified draft Resolution establishes the phytosanitary measures for the importation of rooted Echinopsis spp. cuttings for propagation originating in China.</t>
  </si>
  <si>
    <t>Rooted Echinopsis spp. cuttings for propagation (HS code(s): 0602)</t>
  </si>
  <si>
    <t>0602 - Live plants incl. their roots, cuttings and slips; mushroom spawn (excl. bulbs, tubers, tuberous roots, corms, crowns and rhizomes, and chicory plants and roots)</t>
  </si>
  <si>
    <d:r xmlns:d="http://schemas.openxmlformats.org/spreadsheetml/2006/main">
      <d:rPr>
        <d:sz val="11"/>
        <d:rFont val="Calibri"/>
      </d:rPr>
      <d:t xml:space="preserve">https://members.wto.org/crnattachments/2024/SPS/CRI/24_07155_00_s.pdf</d:t>
    </d:r>
  </si>
  <si>
    <t>210220 - Inactive yeasts; other dead single-cell micro-organisms (excl. packaged as medicaments); 210210 - Active yeasts; 2102 - Yeasts, active or inactive; other dead single-cell micro-organisms, prepared baking powders (excl. single-cell micro-organisms packaged as medicaments); 190120 - 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 2102 - Yeasts, active or inactive; other dead single-cell micro-organisms, prepared baking powders (excl. single-cell micro-organisms packaged as medicaments); 210210 - Active yeasts; 210220 - Inactive yeasts; other dead single-cell micro-organisms (excl. packaged as medicaments); 190120 - 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t>
  </si>
  <si>
    <t>Nutrition information; Labelling; Nutrition information; Labelling</t>
  </si>
  <si>
    <t>Maximum residue levels for thiacloprid in or on certain products</t>
  </si>
  <si>
    <t>The proposal notified in G/SPS/N/EU/763 (8 May 2024) is now adopted by Commission Regulation (EU) 2024/2711 of 22 October 2024 amending Annexes II and V to Regulation (EC) No 396/2005 of the European Parliament and of the Council as regards maximum residue levels for thiacloprid in or on certain products (Text with EEA relevance).The Regulation shall apply from 12 May 2025.</t>
  </si>
  <si>
    <t>0202 - Meat of bovine animals, frozen; 1006 - Rice; 1005 - Maize or corn; 1004 - Oats; 1003 - Barley; 1002 - Rye; 1001 - Wheat and meslin; 0210 - Meat and edible offal, salted, in brine, dried or smoked; edible flours and meals of meat or meat offal;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0201 - Meat of bovine animals, fresh or chilled; 1007 - Grain sorghum; 1008 - Buckwheat, millet, canary seed and other cereals (excl. wheat and meslin, rye, barley, oats, maize, rice and grain sorghum); 1001 - Wheat and meslin;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0210 - Meat and edible offal, salted, in brine, dried or smoked; edible flours and meals of meat or meat offal; 0201 - Meat of bovine animals, fresh or chilled; 1006 - Rice; 1005 - Maize or corn; 1004 - Oats; 1003 - Barley; 1002 - Rye; 1007 - Grain sorghum; 1008 - Buckwheat, millet, canary seed and other cereals (excl. wheat and meslin, rye, barley, oats, maize, rice and grain sorghum)</t>
  </si>
  <si>
    <t>Maximum residue limits (MRLs); Food safety; Human health; Adoption/publication/entry into force of reg.; Maximum residue limits (MRLs); Human health; Food safety</t>
  </si>
  <si>
    <d:r xmlns:d="http://schemas.openxmlformats.org/spreadsheetml/2006/main">
      <d:rPr>
        <d:sz val="11"/>
        <d:rFont val="Calibri"/>
      </d:rPr>
      <d:t xml:space="preserve">https://members.wto.org/crnattachments/2024/SPS/EEC/24_07281_00_e.pdf
https://members.wto.org/crnattachments/2024/SPS/EEC/24_07281_00_f.pdf
https://members.wto.org/crnattachments/2024/SPS/EEC/24_07281_00_s.pdf</d:t>
    </d:r>
  </si>
  <si>
    <t>DEAS 298:2022 Edible cottonseed oil — Specification </t>
  </si>
  <si>
    <t>The aim of this addendum is to update WTO Members that the Draft East African Standard, DEAS 298:2022 Edible cottonseed oil — Specification notified in  G/TBT/N/BDI/247, G/TBT/N/KEN/1266, G/TBT/N/RWA/677, G/TBT/N/TZA/787, G/TBT/N/UGA/1601, G/TBT/N/BDI/247/Add.1, G/TBT/N/KEN/1266/Add.1, G/TBT/N/RWA/677/Add.1, G/TBT/N/TZA/787/Add.1 and G/TBT/N/UGA/1601/Add.1 was adopted by Uganda on 6 August 2024 as a Uganda Standard, US EAS 298:2023 Edible cottonseed oil — Specification . The Uganda Standard, US EAS 298:2023 Edible cottonseed oil — Specification , can be purchased online through the link: https://webstore.unbs.go.ug/</t>
  </si>
  <si>
    <t>- - Crude oil, whether or not gossypol has been removed (HS code(s): 151221); Animal and vegetable fats and oils (ICS code(s): 67.200.10)</t>
  </si>
  <si>
    <t>151221 - Crude cotton-seed oil; 151221 - Crude cotton-seed oil</t>
  </si>
  <si>
    <t>67.200.10 - Animal and vegetable fats and oils; 67.200.10 - Animal and vegetable fats and oils</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</si>
  <si>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Quality requirements (TBT); Quality requirements (TBT); Harmonization (TBT); Harmonization (TBT); Reducing trade barriers and facilitating trade (TBT); Reducing trade barriers and facilitating trade (TBT)</t>
  </si>
  <si>
    <t>DEAS 301: 2022 Edible palm oil — Specification </t>
  </si>
  <si>
    <t>The aim of this addendum is to update WTO Members that the Draft East African Standard, DEAS 301: 2022 Edible palm oil — Specification notified in  G/TBT/N/BDI/267, G/TBT/N/KEN/1296, G/TBT/N/RWA/702, G/TBT/N/TZA/821, G/TBT/N/UGA/1676, G/TBT/N/BDI/267/Add.1, G/TBT/N/KEN/1296/Add.1, G/TBT/N/RWA/702/Add.1, G/TBT/N/TZA/821/Add.1 and G/TBT/N/UGA/1676/Add.1 was adopted by Uganda on 6 August 2024 as a Uganda Standard, US EAS 301:2023 Edible palm oil — Specification. The Uganda Standard, US EAS 301:2023 Edible palm oil — Specification , can be purchased online through the link: https://webstore.unbs.go.ug/</t>
  </si>
  <si>
    <t>Animal or vegetable fats and oils and their cleavage products; prepared edible fats; animal or vegetable waxes (HS code(s): 15); Nuts (ICS code(s): 21.060.20)</t>
  </si>
  <si>
    <t>15 - ANIMAL OR VEGETABLE FATS AND OILS AND THEIR CLEAVAGE PRODUCTS; PREPARED EDIBLE FATS; ANIMAL OR VEGETABLE WAXES; 15 - ANIMAL OR VEGETABLE FATS AND OILS AND THEIR CLEAVAGE PRODUCTS; PREPARED EDIBLE FATS; ANIMAL OR VEGETABLE WAXES</t>
  </si>
  <si>
    <t>21.060.20 - Nuts; 21.060.20 - Nuts</t>
  </si>
  <si>
    <t>DEAS 888:2022 Raw, roasted and fried groundnuts — Specification</t>
  </si>
  <si>
    <t>The aim of this addendum is to update WTO Members that the Draft East African Standard, DEAS 888:2022 Raw, roasted and fried groundnuts — Specification notified in  G/TBT/N/BDI/246, G/TBT/N/KEN/1265, G/TBT/N/RWA/676, G/TBT/N/TZA/786, G/TBT/N/UGA/1600, G/TBT/N/BDI/246/Add.1, G/TBT/N/KEN/1265/Add.1, G/TBT/N/RWA/676/Add.1, G/TBT/N/TZA/786/Add.1 and G/TBT/N/UGA/1600/Add.1 was adopted by Uganda on 6 August 2024 as a Uganda Standard, US EAS 888:2023 Groundnuts kernels — Specification, Second Edition. The Uganda Standard, US EAS 888:2023 Groundnuts kernels — Specification, Second Edition, can be purchased online through the link: https://webstore.unbs.go.ug/</t>
  </si>
  <si>
    <t>Ground-nuts, not roasted or otherwise cooked, whether or not shelled or broken. (HS code(s): 1202); Oilseeds (ICS code(s): 67.200.20)</t>
  </si>
  <si>
    <t>1202 - Groundnuts, whether or not shelled or broken (excl. roasted or otherwise cooked); 1202 - Groundnuts, whether or not shelled or broken (excl. roasted or otherwise cooked)</t>
  </si>
  <si>
    <t>67.200.20 - Oilseeds; 67.200.20 - Oilseeds</t>
  </si>
  <si>
    <t>DEAS 889:2022 Groundnut kernels for oil extraction — Specification</t>
  </si>
  <si>
    <t>The aim of this addendum is to update WTO Members that the Draft East African Standard, DEAS 889:2022 Groundnut kernels for oil extraction — Specification notified in  G/TBT/N/BDI/244, G/TBT/N/KEN/1263, G/TBT/N/RWA/674, G/TBT/N/TZA/784, G/TBT/N/UGA/1598, G/TBT/N/BDI/244/Add.1, G/TBT/N/KEN/1263/Add.1, G/TBT/N/RWA/674/Add.1, G/TBT/N/TZA/784/Add.1 and G/TBT/N/UGA/1598/Add.1 was adopted by Uganda on 6 August 2024 as a Uganda Standard, US EAS 889:2023 Groundnut kernels for oil extraction — Specification, Second Edition. The Uganda Standard, US EAS 889:2023 Groundnut kernels for oil extraction — Specification, Second Edition, can be purchased online through the link: https://webstore.unbs.go.ug/</t>
  </si>
  <si>
    <t>Other oil seeds and oleaginous fruits, whether or not broken. (HS code(s): 1207); Oilseeds (ICS code(s): 67.200.20)</t>
  </si>
  <si>
    <t>1207 - Other oil seeds and oleaginous fruits, whether or not broken (excl. edible nuts, olives, soya beans, groundnuts, copra, linseed, rape or colza seeds and sunflower seeds); 1207 - Other oil seeds and oleaginous fruits, whether or not broken (excl. edible nuts, olives, soya beans, groundnuts, copra, linseed, rape or colza seeds and sunflower seeds)</t>
  </si>
  <si>
    <t>The aim of this addendum is to update WTO Members that the Draft East African Standard, DEAS 43:2022, Bread — Specification, Third Edition notified in  G/TBT/N/BDI/311, G/TBT/N/KEN/1357, G/TBT/N/RWA/752, G/TBT/N/TZA/875, G/TBT/N/UGA/1722, G/TBT/N/BDI/311/Add.1, G/TBT/N/KEN/1357/Add.1, G/TBT/N/RWA/752/Add.1, G/TBT/N/TZA/875/Add.1 and G/TBT/N/UGA/1722/Add.1 was adopted by Uganda on 6 August 2024 as a Uganda Standard, US EAS 43:2023, Bread — Specification, Third Edition. The Uganda Standard, US EAS 43:2023, Bread — Specification, Third Edition, can be purchased online through the link: https://webstore.unbs.go.ug/</t>
  </si>
  <si>
    <t>Draft resolution 1288, 17 October 2024</t>
  </si>
  <si>
    <t>This Draft Resolution contains provisions on post-market-registration changes and cancellation of registration of medicines with synthetic and semi-synthetic active ingredients and establishes rules for the preparation, harmonization, updating, publication and availability of medication leaflets for patients and healthcare professionals.</t>
  </si>
  <si>
    <d:r xmlns:d="http://schemas.openxmlformats.org/spreadsheetml/2006/main">
      <d:rPr>
        <d:sz val="11"/>
        <d:rFont val="Calibri"/>
      </d:rPr>
      <d:t xml:space="preserve">https://members.wto.org/crnattachments/2024/TBT/BRA/24_07153_00_x.pdf</d:t>
    </d:r>
  </si>
  <si>
    <t>DEAS 1101: 2022 Cassava seed — Requirements for certification, First Edition</t>
  </si>
  <si>
    <t>The aim of this addendum is to update WTO Members that the Draft East African Standard, DEAS 1101: 2022 Cassava seed — Requirements for certification, First Edition notified in  G/TBT/N/BDI/279, G/TBT/N/KEN/1313, G/TBT/N/RWA/713, G/TBT/N/TZA/832, G/TBT/N/UGA/1687, G/TBT/N/BDI/279/Add.1, G/TBT/N/KEN/1313/Add.1, G/TBT/N/RWA/713/Add.1, G/TBT/N/TZA/832/Add.1 and G/TBT/N/UGA/1687/Add.1  was adopted by Uganda on 6 August 2024 as a Uganda Standard, US EAS 1101:2023 Cassava seed — Requirements for certification, First Edition. The Uganda Standard, US EAS 1101:2023 Cassava seed — Requirements for certification, First Edition, can be purchased online through the link: https://webstore.unbs.go.ug/</t>
  </si>
  <si>
    <t>Seeders, planters and transplanters (HS code(s): 843230); Plant growing (ICS code(s): 65.020.20)</t>
  </si>
  <si>
    <t>Consumer information, labelling (TBT); Prevention of deceptive practices and consumer protection (TBT); Protection of animal or plant life or health (TBT); Protection of the environment (TBT); Quality requirements (TBT)</t>
  </si>
  <si>
    <t>Rules for FM Terrestrial Digital Audio Broadcasting Systems</t>
  </si>
  <si>
    <t xml:space="preserve">In this document, the Federal Communications Commission (Commission) adopts rules to allow digital FM broadcast radio stations to operate with different power levels on the upper and lower digital sidebands, by notification to the Commission. The rule changes will facilitate greater digital FM radio coverage without interfering with adjacent-channel FM broadcast stations. The intended effect is to advance the broader adoption of digital FM broadcasting by authorizing digital FM broadcasters to implement such asymmetric sideband operation by simple notification to the Commission, rather than by requesting experimental authorization as is the current practice.This final rule is effective 20 November 2024, except for the amendments in instruction 4 (47 CFR 74.404) and instruction 5 (47 CFR 74.406), which are delayed indefinitely. The Commission will announce the effective date of the rule changes to 47 CFR 73.404 and 73.406 in the Federal Register.89 Federal Register (FR) 84096, 21 October 2024; Title 47 Code of Federal Regulations (CFR) Part 73_x000D_
https://www.govinfo.gov/content/pkg/FR-2024-10-21/html/2024-24105.htm_x000D_
https://www.govinfo.gov/content/pkg/FR-2024-10-21/pdf/2024-24105.pdfhttps://docs.fcc.gov/public/attachments/DA-24-1087A1.pdfThis final rule is identified by MB Docket No. 22-405FCC 24-105. The Docket Folder is available on the FCC's website at https://www.fcc.gov/edocs/search-results?t=quick&amp;fccdaNo=24-105&amp;dockets=22-405 and provides access to associated documents as well as comments received (if any). Documents are also accessible from the FCC's Electronic Document Management System (EDOCS) by searching the MB Docket Number.  Comments ("filings") posted by the FCC in the Electronic Comment Filing System (ECFS) are accessible at https://www.fcc.gov/ecfs/search/search-filings/results?q=(proceedings.name:(%2222-405%22))</t>
  </si>
  <si>
    <t>FM terrestrial digital audio broadcasting systems; Radiocommunications (ICS code(s): 33.060); Mobile services (ICS code(s): 33.070); Television and radio broadcasting (ICS code(s): 33.170)</t>
  </si>
  <si>
    <t>33.060 - Radiocommunications; 33.070 - Mobile services; 33.170 - Television and radio broadcasting; 33.060 - Radiocommunications; 33.070 - Mobile services; 33.170 - Television and radio broadcasting</t>
  </si>
  <si>
    <d:r xmlns:d="http://schemas.openxmlformats.org/spreadsheetml/2006/main">
      <d:rPr>
        <d:sz val="11"/>
        <d:rFont val="Calibri"/>
      </d:rPr>
      <d:t xml:space="preserve">https://members.wto.org/crnattachments/2024/TBT/USA/final_measure/24_07088_00_e.pdf
https://members.wto.org/crnattachments/2024/TBT/USA/final_measure/24_07088_01_e.pdf</d:t>
    </d:r>
  </si>
  <si>
    <t>DEAS 302: 2022 Edible palm kernel oil — Specification</t>
  </si>
  <si>
    <t>The aim of this addendum is to update WTO Members that the Draft East African Standard, DEAS 302: 2022 Edible palm kernel oil — Specification notified in  G/TBT/N/BDI/268, G/TBT/N/KEN/1297, G/TBT/N/RWA/703, G/TBT/N/TZA/822, G/TBT/N/UGA/1677, G/TBT/N/BDI/268/Add.1, G/TBT/N/KEN/1297/Add.1, G/TBT/N/RWA/703/Add.1, G/TBT/N/TZA/822/Add.1 and G/TBT/N/UGA/1677/Add.1 was adopted by Uganda on 6 August 2024 as a Uganda Standard, US EAS 302:2023 Edible palm kernel oil — Specification, First Edition. The Uganda Standard, US EAS 302:2023 Edible palm kernel oil — Specification, First Edition, can be purchased online through the link: https://webstore.unbs.go.ug/</t>
  </si>
  <si>
    <t>DEAS 805: 2022, Use of nutrition and health claims―Requirements</t>
  </si>
  <si>
    <t>The aim of this addendum is to update WTO Members that the Draft East African Standard, DEAS 805: 2022, Use of nutrition and health claims―Requirements notified in G/TBT/N/BDI/230, G/TBT/N/KEN/1239, G/TBT/N/RWA/656, G/TBT/N/TZA/731, G/TBT/N/UGA/1563, G/TBT/N/BDI/230/Add.1, G/TBT/N/KEN/1239/Add.1, G/TBT/N/RWA/656/Add.1, G/TBT/N/TZA/731/Add.1 and G/TBT/N/UGA/1563/Add.1 was adopted by Uganda on 6 August 2024 as a Uganda Standard, US EAS 805:2023, Use of nutrition and health claims―Requirements, Second Edition. The Uganda Standard, US EAS 805:2023, Use of nutrition and health claims―Requirements, Second Edition, can be purchased online through the link: https://webstore.unbs.go.ug/</t>
  </si>
  <si>
    <t>Prepackaged and prepared foods (ICS code(s): 67.230)</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</si>
  <si>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Protection of the environment (TBT); Protection of the environment (TBT); Quality requirements (TBT); Quality requirements (TBT); Reducing trade barriers and facilitating trade (TBT); Reducing trade barriers and facilitating trade (TBT); Cost saving and productivity enhancement (TBT); Cost saving and productivity enhancement (TBT)</t>
  </si>
  <si>
    <t>Food standards; Nutrition information; Labelling; Food standards; Food standards; Nutrition information; Labelling</t>
  </si>
  <si>
    <t>The aim of this addendum is to update WTO Members that the Draft East African Standard, DEAS 327:2022, Barley for brewing — Specification, Second Edition notified in G/TBT/N/BDI/312, G/TBT/N/KEN/1358, G/TBT/N/RWA/753, G/TBT/N/TZA/876, G/TBT/N/UGA/1723, G/TBT/N/BDI/312/Add.1, G/TBT/N/KEN/1358/Add.1, G/TBT/N/RWA/753/Add.1, G/TBT/N/TZA/876/Add.1 and G/TBT/N/UGA/1723/Add.1  was adopted by Uganda on 6 August 2024 as a Uganda Standard, US EAS 327:2023, Barley for brewing — Specification, Second Edition The Uganda Standard, US EAS 327:2023, Barley for brewing — Specification, Second Edition, can be purchased online through the link: https://webstore.unbs.go.ug/</t>
  </si>
  <si>
    <t>DEAS 333: 2022 Edible sesame (simsim) oil — Specification</t>
  </si>
  <si>
    <t>The aim of this addendum is to update WTO Members that the Draft East African Standard, DEAS 333: 2022 Edible sesame (simsim) oil — Specification notified in G/TBT/N/BDI/269, G/TBT/N/KEN/1298, G/TBT/N/RWA/704, G/TBT/N/TZA/823, G/TBT/N/UGA/1678, G/TBT/N/BDI/269/Add.1, G/TBT/N/KEN/1298/Add.1, G/TBT/N/RWA/704/Add.1, G/TBT/N/TZA/823/Add.1 and G/TBT/N/UGA/1678/Add.1 was adopted by Uganda on 6 August 2024 as a Uganda Standard, US EAS 333:2023 Edible sesame (simsim) oil — Specification, First Edition. The Uganda Standard, US EAS 333:2023 Edible sesame (simsim) oil — Specification, First Edition, can be purchased online through the link: https://webstore.unbs.go.ug/</t>
  </si>
  <si>
    <t>The aim of this addendum is to update WTO Members that the Draft East African Standard, DEAS 800:2022, Soya milk — Specification, Second Edition notified in G/TBT/N/BDI/310, G/TBT/N/KEN/1356, G/TBT/N/RWA/751, G/TBT/N/TZA/874 and G/TBT/N/UGA/1721 was adopted by Uganda on 6 August 2024 as a Uganda Standard, US EAS 800:2023, Non-fermented Soybean products — Specification, Second Edition. The Uganda Standard, US EAS 800:2023, Non-fermented Soybean products — Specification, Second Edition, can be purchased online through the link: https://webstore.unbs.go.ug/</t>
  </si>
  <si>
    <t>DEAS 804: 2022, Claims on Foods―General requirements</t>
  </si>
  <si>
    <t>The aim of this addendum is to update WTO Members that the Draft East African Standard, DEAS 804: 2022, Claims on Foods―General requirements notified in G/TBT/N/BDI/229, G/TBT/N/KEN/1238, G/TBT/N/RWA/655, G/TBT/N/TZA/730, G/TBT/N/UGA/1562, G/TBT/N/BDI/229/Add.1, G/TBT/N/KEN/1238/Add.1, G/TBT/N/RWA/655/Add.1, G/TBT/N/TZA/730/Add.1 and G/TBT/N/UGA/1562/Add.1 was adopted by Uganda on 6 August 2024 as a Uganda Standard, US EAS 804:2023, Claims on Foods―General requirements, Second Edition. The Uganda Standard, US EAS 804:2023, Claims on Foods―General requirements, Second Edition, can be purchased online through the link: https://webstore.unbs.go.ug/</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</si>
  <si>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</si>
  <si>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t>SI 50525 part 2.31 - Electric cables – Low voltage energy cables of rated voltage 450/750 V (U0/U): Cables for general applications – Single core non-sheathed heat resistant cables with thermoplastic PVC insulation</t>
  </si>
  <si>
    <t>Revision of the Mandatory Standard SI 60227 part 3 to be partially replaced with SI 50525 part 2.31, relating only to products with the following characteristics: electric cables marked with CENELEC codes H07V2-U, H07V2-R and H07V2-K with a single core, non-sheathed, with thermoplastic PVC insulation that are intended for permanent fixed wiring :The rated voltage is 450/750 V in an alternating current;The maximum conductor operating temperature for the cables in this standard is 90 °CThe conductor shall be in one of the following forms: Flexible cable conductor for permanent installations (for sign -K);Fixed, round, braided conductor (for sign -R);Fixed, round, solid (for sign -U).This proposed standard revision adopts the European Standard EN 50525-2-31: May 2011, with a few changes that appear in the standard's Hebrew section.  The major change introduced in this revision is the transference of electric cables marked with CENELEC codes H07V2-U, H07V2-R and H07V2-K from SI 60227 part 3 to SI 50525 part 2.31.Both the old and the new revised standards will apply from entry into force of this revision for a transition period of one year. During this time, products may be tested according to the requirements of the old or the new revised standard.</t>
  </si>
  <si>
    <t xml:space="preserve">Electric cables marked with CENELEC codes H07V2-U - ו H07V2-R, H07V2-K_x000D_
(HS code(s): 854420; 854430); (ICS code(s): 29.060.20)</t>
  </si>
  <si>
    <t>854420 - Coaxial cable and other coaxial electric conductors, insulated; 854430 - Ignition wiring sets and other wiring sets for vehicles, aircraft or ships</t>
  </si>
  <si>
    <t>29.060.20 - Cables</t>
  </si>
  <si>
    <d:r xmlns:d="http://schemas.openxmlformats.org/spreadsheetml/2006/main">
      <d:rPr>
        <d:sz val="11"/>
        <d:rFont val="Calibri"/>
      </d:rPr>
      <d:t xml:space="preserve">https://members.wto.org/crnattachments/2024/TBT/ISR/24_07083_00_x.pdf</d:t>
    </d:r>
  </si>
  <si>
    <t>Draft Food Safety and Standards (Fortification of Foods) Amendment Regulations, 2024</t>
  </si>
  <si>
    <t>The Draft Food Safety and Standards (Fortification of Foods) Amendment Regulations, 2024 proposes to remove the advisory regarding Thalassemia and Sickle Cell Anaemia.</t>
  </si>
  <si>
    <d:r xmlns:d="http://schemas.openxmlformats.org/spreadsheetml/2006/main">
      <d:rPr>
        <d:sz val="11"/>
        <d:rFont val="Calibri"/>
      </d:rPr>
      <d:t xml:space="preserve">https://members.wto.org/crnattachments/2024/SPS/IND/24_07081_00_x.pdf
https://www.fssai.gov.in/upload/uploadfiles/files/gazette_draft230924.pdf</d:t>
    </d:r>
  </si>
  <si>
    <t>Normative Instruction 189, 26 October 2022</t>
  </si>
  <si>
    <t>Normative Instruction 261, 25 October 2023 - previously notified through G/TBT/N/BRA/1455/Add.1 - which contains provisions on the composition of influenza vaccines to be used in Brazil in the year 2023, was revoked by Normative Instruction 330, 17 October 2024.The final text is available only in Portuguese and can be downloaded at: https://antigo.anvisa.gov.br/documents/10181/6892378/IN_330_2024_.pdf/987c2185-444d-415c-93f2-301dad0a5081</t>
  </si>
  <si>
    <t>DEAS801:2022, Soya protein products — Specification, Second Edition</t>
  </si>
  <si>
    <t>The aim of this addendum is to update WTO Members that the Draft East African Standard, DEAS801:2022, Soya protein products — Specification, Second Edition notified in G/TBT/N/BDI/309, G/TBT/N/KEN/1355, G/TBT/N/RWA/750, G/TBT/N/TZA/873 and G/TBT/N/UGA/1720  was adopted by Uganda on 6 August 2024 as a Uganda Standard, US EAS 801:2023, Soya protein products — Specification, Second Edition. The Uganda Standard, US EAS 801:2023, Soya protein products — Specification, Second Edition, can be purchased online through the link: https://webstore.unbs.go.ug/</t>
  </si>
  <si>
    <t>Draft Resolution of the Cabinet of Ministers of Ukraine “On Amendments to Clause 6 of the Procedure for State Quality Control of Medicines Imported into Ukraine”</t>
  </si>
  <si>
    <t xml:space="preserve">The draft Resolution of the Cabinet of Ministers of Ukraine "On Amendments to Clause 6 of the Procedure for State Quality Control of Medicines Imported into Ukraine" has been developed to deregulate the process of state control of radioactive and radiopharmaceutical medicines imported into Ukraine, as well as and to facilitate open electronic interaction between executive authorities and business entities._x000D_
Radioactive and radiopharmaceutical medicines are specific sources of ionizing radiation, the active ingredient of which is a radioactive isotope (radionuclide). They are widely used worldwide and in Ukraine for the diagnosis and treatment of oncological diseases. Manufacturers of radioactive and radiopharmaceutical medicines release new batches on a weekly basis, which is related to the unique physical characteristic of these drugs - the half-life of the radionuclide (the time it takes for half of the atoms of a given radionuclide to decay). For example, the half-life of Iodine-131 (I-131) is 8 days. Additionally, radioactive and radiopharmaceutical medicines have a short shelf life, ranging from 21 to 28 days from the date of production._x000D_
The draft Resolution aims to resolve discrepancies between the requirements of the Procedure for State Quality Control of Medicines Imported into Ukraine, approved by the Resolution of the Cabinet of Ministers of Ukraine on 14 September 2005 No. 902, and the physical properties of radioactive and radiopharmaceuticals in order to prevent delays or rescheduling of diagnostics and treatment for cancer patients, thereby reducing significant risks to their health and life.The proposed amendments comply with the requirements of Directive 2001/83/EC of the European Parliament and of the Council of 6 November 2001 on the Community code relating to medicinal products for human use in terms of the wholesale trade in medicines (distribution) and imports, including radiopharmaceuticals.In addition, to ensure efficient, transparent and open electronic interaction between executive authorities and business entities in accordance with the Law of Ukraine "On Electronic Documents and Electronic Document Management", it is proposed to add Clause 6 with a new rule regarding the submission of information on imports and accompanying documents through the e-government web portal for quality control of medicines of the State Service of Ukraine on Medicines and Drugs Control.</t>
  </si>
  <si>
    <d:r xmlns:d="http://schemas.openxmlformats.org/spreadsheetml/2006/main">
      <d:rPr>
        <d:sz val="11"/>
        <d:rFont val="Calibri"/>
      </d:rPr>
      <d:t xml:space="preserve">https://members.wto.org/crnattachments/2024/TBT/UKR/24_07162_00_e.pdf
https://members.wto.org/crnattachments/2024/TBT/UKR/24_07162_00_x.pdf
https://moz.gov.ua/uk/povidomlennya-pro-oprilyudnennya-postanovi-kabinetu-ministriv-ukrayini-pro-vnesennya-zmini-do-punktu-6-poryadku-zdijsnennya-derzhavnogo-kontrolyu-yakosti-likarskih-zasobiv-sho-vvozyatsya-v-ukrayinu</d:t>
    </d:r>
  </si>
  <si>
    <t>DEAS 1035: 2020, Banana seeds — Requirements for certification, First Edition</t>
  </si>
  <si>
    <t>The aim of this addendum is to update WTO Members that the Draft East African Standard, DEAS 1035: 2020, Banana seeds — Requirements for certification, First Edition notified in G/TBT/N/BDI/273, G/TBT/N/KEN/1301, G/TBT/N/RWA/707, G/TBT/N/TZA/826, G/TBT/N/UGA/1681, G/TBT/N/BDI/273/Add.1, G/TBT/N/KEN/1301/Add.1, G/TBT/N/RWA/707/Add.1, G/TBT/N/TZA/826/Add.1 and G/TBT/N/UGA/1681/Add.1 was adopted by Uganda on 6 August 2024 as a Uganda Standard, US EAS 1035:2023, Banana seeds — Requirements for certification, First Edition. The Uganda Standard, US EAS 1035:2023, Banana seeds — Requirements for certification, First Edition, can be purchased online through the link: https://webstore.unbs.go.ug/</t>
  </si>
  <si>
    <t>Other live plants (including their roots), cuttings and slips; mushroom spawn. (HS code(s): 0602); Plant growing (ICS code(s): 65.020.20)</t>
  </si>
  <si>
    <t>Consumer information, labelling (TBT); Consumer information, labelling (TBT); Prevention of deceptive practices and consumer protection (TBT); Prevention of deceptive practices and consumer protection (TBT); Protection of animal or plant life or health (TBT); Protection of animal or plant life or health (TBT); Protection of the environment (TBT); Protection of the environment (TBT); Quality requirements (TBT); Quality requirements (TBT); Harmonization (TBT); Harmonization (TBT); Reducing trade barriers and facilitating trade (TBT); Reducing trade barriers and facilitating trade (TBT); Cost saving and productivity enhancement (TBT); Cost saving and productivity enhancement (TBT)</t>
  </si>
  <si>
    <t>Food standards; Labelling; Nutrition information; Food standards; Nutrition information; Labelling</t>
  </si>
  <si>
    <t>Amendments to the Regulations of the Liquor Products Act, Act 60 of 1989 and the Wine of Origin Scheme</t>
  </si>
  <si>
    <t>REGULATIONS: AMENDMENTProvision for agave classes, beer classes, traditional African beer classes, other fermented beverages, dairy free liqueur and flavoured spirits in the regulations. Make provision for mead, rice fermented beverage, grain fermented beverage, sugar fermented beverage, sacramental beverage, orange juice and sugar fermented beverage and kombucha and sugar fermented alcoholic beverage under the other fermented beverages category of liquor. Provide for a definition for "prepackaged”. Lower the maximum alcohol content of all spirit classes. Make provision for an Absinthe class, amend the definition of Gin, make provision for distilled gin, London dry gin and flavoured gin. Make provision for the labelling of Rose wine aged in red wine casks under specific conditions and MCC sparkling wines. Provide guidelines for lower in alcohol and comparative labelling claims. Make provision for best before date and production date in addition to filling date on the labelling of a liquor product. Allow for some flexibility with regards to the indication of Lot numbers. Make provision for the indication of drinking messages under the regulations of the Liquor Products Act, as currently required by the Foodstuffs, Cosmetics and Disinfectants Act, Act 54 of 1972, administered by the South African Department of Health. Amendment of regulation 58 to provide for guidelines during the appeal process. Update regulation 59 concerning offences and penalties. Amendment of Table 1 by addition of new grape cultivars for the production of wine. Amendment of Table 6 and 7, substances which may be added and removed from liquor products to list additives for all the new categories of liquor products and allowed practices.  WINE OF ORIGIN AMENDMENTProvision for single vineyard wine, skin fermented white, moscato and amendment of section 23, 24 and 27. Provision for older white and red wine to be excluded from sampling under certain conditions. Table 1  and 22, addition of vine cultivars and synonyms to which the Scheme applies and for the production of Blanc de Noir wine. Revision and update of Table 4 regarding unacceptable quality characteristics of wine intended for certification under the scheme. Substitution of the word “board” in the scheme with the expression “WCA”. </t>
  </si>
  <si>
    <t>Liquor products</t>
  </si>
  <si>
    <t>Consumer information, labelling (TBT); Protection of human health or safety (TBT); Reducing trade barriers and facilitating trade (TBT)</t>
  </si>
  <si>
    <d:r xmlns:d="http://schemas.openxmlformats.org/spreadsheetml/2006/main">
      <d:rPr>
        <d:sz val="11"/>
        <d:rFont val="Calibri"/>
      </d:rPr>
      <d:t xml:space="preserve">https://members.wto.org/crnattachments/2024/TBT/ZAF/24_07154_00_e.pdf
https://members.wto.org/crnattachments/2024/TBT/ZAF/24_07154_01_e.pdf</d:t>
    </d:r>
  </si>
  <si>
    <t>Resolution - RDC number 616, 09 March 2022</t>
  </si>
  <si>
    <t>Resolution 616, 09 March 2022 - previously notified through G/TBT/N/BRA/1326 - which contains provisions on the composition of seasonal influenza vaccines to be used in Brazil, was changed by Resolution 933, 17 October 2024. The final text is available only in Portuguese and can be downloaded at: https://antigo.anvisa.gov.br/documents/10181/6892378/RDC_933_2024_.pdf/b71d8078-c680-45dd-8da9-ad8b00b5e0ad</t>
  </si>
  <si>
    <t>HS (3006) – Vaccines </t>
  </si>
  <si>
    <t>3006 - Pharmaceutical preparations and products of subheadings 3006.10.10 to 3006.60.90; 3006 - Pharmaceutical preparations and products of subheadings 3006.10.10 to 3006.60.90</t>
  </si>
  <si>
    <d:r xmlns:d="http://schemas.openxmlformats.org/spreadsheetml/2006/main">
      <d:rPr>
        <d:sz val="11"/>
        <d:rFont val="Calibri"/>
      </d:rPr>
      <d:t xml:space="preserve">https://members.wto.org/crnattachments/2024/TBT/BRA/modification/24_07089_00_x.pdf</d:t>
    </d:r>
  </si>
  <si>
    <t>Consumer information, labelling (TBT); Consumer information, labelling (TBT); Prevention of deceptive practices and consumer protection (TBT); Prevention of deceptive practices and consumer protection (TBT); Protection of animal or plant life or health (TBT); Protection of animal or plant life or health (TBT); Protection of the environment (TBT); Protection of the environment (TBT); Quality requirements (TBT); Quality requirements (TBT)</t>
  </si>
  <si>
    <t>SI 1430 part 1 - Roof waterproofing sheets: Poly(Vinyl Chloride) sheets</t>
  </si>
  <si>
    <t>Revision of the Mandatory Standard SI 1430 part 1, dealing with Roof waterproofing PVC sheets. This proposed standard revision adopts both the European Standard EN 13956: December 2012 and the American Standard ASTM D4434/D4434M – 21 and allows compliance with either. The major differences between the old version and this new revised draft standard are as follows:In the European route of compliance: Changes  the mandatory requirements based on the German Standard DIN V 20000-201: 2006-11, to be voluntary recommendations;In Section 5.2.5 - Deletes the option for the sheets to comply with Israel Standard SI 921.In the American route of compliance:Omittes the requirement to classify the sheets according to fire resistance according to the Israeli standard TI 921.Adopts an updated version of the American Standard.Both the old and the new revised standards will apply from entry into force of this revision for a transition period of six months. During this time, products may be tested according to the old or the new revised standards.</t>
  </si>
  <si>
    <t>Roof waterproofing PVC sheets (HS code(s): 391990; 3920; 3921); (ICS code(s): 01.040.91; 91.100.50)</t>
  </si>
  <si>
    <t>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3921 - Plates, sheets, film, foil and strip, of plastics, reinforced, laminated, supported or similarly combined with other materials, or of cellular plastic, unworked or merely surface-worked or merely cut into squares or rectangles (excl. self-adhesive products, floor, wall and ceiling coverings of heading 3918); 391990 - Self-adhesive plates, sheets, film, foil, tape, strip and other flat shapes, of plastics, whether or not in rolls &gt; 20 cm wide (excl. floor, wall and ceiling coverings of heading 3918)</t>
  </si>
  <si>
    <t>01.040.91 - Construction materials and building (Vocabularies); 91.100.50 - Binders. Sealing materials</t>
  </si>
  <si>
    <d:r xmlns:d="http://schemas.openxmlformats.org/spreadsheetml/2006/main">
      <d:rPr>
        <d:sz val="11"/>
        <d:rFont val="Calibri"/>
      </d:rPr>
      <d:t xml:space="preserve">https://members.wto.org/crnattachments/2024/TBT/ISR/24_07079_00_x.pdf</d:t>
    </d:r>
  </si>
  <si>
    <t>Energy Conservation Program: Energy Conservation Standards for Consumer Conventional Cooking Products</t>
  </si>
  <si>
    <t xml:space="preserve">The Energy Policy and Conservation Act of 1975 (EPCA), as amended, requires that the U.S. Department of Justice (DOJ) make a determination on the impact, if any, of any lessening of competition likely to result from an energy conservation standard and that the U.S. Department of Energy (DOE) publish such determination in the Federal Register. DOE published a direct final rule (notified as G/TBT/N/USA/998/Rev.1/Add.1) and accompanying notice of proposed rulemaking (notified as G/TBT/N/USA/998/Rev.1) for consumer conventional cooking products on 14 February 2024. In accordance with EPCA, DOE is publishing DOJ's determination of the impact, if any, the energy conservation standards for consumer conventional cooking products will have on competition.The DOJ determination is dated 9 April 2024.89 Federal Register (FR) 84076, 21 October 2024; Title 10 Code of Federal Regulations (CFR) Part 430_x000D_
https://www.govinfo.gov/content/pkg/FR-2024-10-21/html/2024-24158.htm_x000D_
https://www.govinfo.gov/content/pkg/FR-2024-10-21/pdf/2024-24158.pdfThis action and previous actions notified under the symbol G/TBT/N/USA/998 are identified by Docket Number EERE-2014-BT-STD-0005. The Docket Folder is available on Regulations.gov at https://www.regulations.gov/docket/EERE-2014-BT-STD-0005/document and provides access to primary and supporting documents as well as comments received. Documents are also accessible from Regulations.gov by searching the Docket Number.</t>
  </si>
  <si>
    <t>Conventional cooking products; Electric industrial or laboratory furnaces and ovens (excl. resistance heated, induction, dielectric and drying furnaces and ovens) (HS code(s): 851430); Environmental protection (ICS code(s): 13.020); Energy efficiency. Energy conservation in general (ICS code(s): 27.015); Kitchen equipment (ICS code(s): 97.040)</t>
  </si>
  <si>
    <t>851430 - Electric industrial or laboratory furnaces and ovens (excl. resistance heated, induction, dielectric and drying furnaces and ovens); 851430 - Electric industrial or laboratory furnaces and ovens (excl. resistance heated, induction, dielectric and drying furnaces and ovens)</t>
  </si>
  <si>
    <t>13.020 - Environmental protection; 97.040 - Kitchen equipment; 13.020 - Environmental protection; 27.015 - Energy efficiency. Energy conservation in general; 27.015 - Energy efficiency. Energy conservation in general; 97.040 - Kitchen equipment</t>
  </si>
  <si>
    <d:r xmlns:d="http://schemas.openxmlformats.org/spreadsheetml/2006/main">
      <d:rPr>
        <d:sz val="11"/>
        <d:rFont val="Calibri"/>
      </d:rPr>
      <d:t xml:space="preserve">https://members.wto.org/crnattachments/2024/TBT/USA/24_07087_00_e.pdf</d:t>
    </d:r>
  </si>
  <si>
    <t>The Food Safety and Standards (Contaminants, Toxins and Residues) Amendment Regulations, 2024 has revised comprehensive MRL of pesticide.</t>
  </si>
  <si>
    <d:r xmlns:d="http://schemas.openxmlformats.org/spreadsheetml/2006/main">
      <d:rPr>
        <d:sz val="11"/>
        <d:rFont val="Calibri"/>
      </d:rPr>
      <d:t xml:space="preserve">https://members.wto.org/crnattachments/2024/SPS/IND/24_07080_00_x.pdf
https://www.fssai.gov.in/upload/uploadfiles/files/gazette_230924.pdf</d:t>
    </d:r>
  </si>
  <si>
    <t>Consumer information, labelling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t>
  </si>
  <si>
    <t>SI 1147 - The elastic properties of flat, non-adhesive, extensible fabric bandages</t>
  </si>
  <si>
    <t xml:space="preserve">Revision of the Mandatory Standards SI X 1147, SI 1147 part 1, SI 1147 part 2 and SI 1147 part 3, dealing with bandages, to be replaced with SI 1147. This proposed standard adopts the British Standard BS 7505:1995, including its incorporating Corrigenda 1 and 2. This new standard differs significantly from the previous standards. The Hebrew section of this draft includes the following changes:Changes in the labelling requirements included in Section 6;Adds a new normative Annex B, with a Hebrew translation of Table 1, “bandages type classification according to their functions”._x000D_
Both the old and the new revised standards will apply from entry into force of this revision for a transition period of one year. During this time, products may be tested according to the old or the new revised standards.</t>
  </si>
  <si>
    <t>Bandages (HS code(s): 300590); (ICS code(s): 11.120)</t>
  </si>
  <si>
    <t>300590 - Wadding, gauze, bandages and the like, e.g. dressings, adhesive plasters, poultices, impregnated or covered with pharmaceutical substances or put up for retail sale for medical, surgical, dental or veterinary purposes (excl. adhesive dressings and other articles having an adhesive layer)</t>
  </si>
  <si>
    <d:r xmlns:d="http://schemas.openxmlformats.org/spreadsheetml/2006/main">
      <d:rPr>
        <d:sz val="11"/>
        <d:rFont val="Calibri"/>
      </d:rPr>
      <d:t xml:space="preserve">https://members.wto.org/crnattachments/2024/TBT/ISR/24_07085_00_x.pdf</d:t>
    </d:r>
  </si>
  <si>
    <t>DEAS 299: 2022 Edible sunflower oil — Specification</t>
  </si>
  <si>
    <t>The aim of this addendum is to update WTO Members that the Draft East African Standard, DEAS 299: 2022 Edible sunflower oil — Specification notified in  G/TBT/N/BDI/266, G/TBT/N/KEN/1295, G/TBT/N/RWA/701, G/TBT/N/TZA/820, G/TBT/N/UGA/1675, G/TBT/N/BDI/266/Add.1, G/TBT/N/KEN/1295/Add.1, G/TBT/N/RWA/701/Add.1, G/TBT/N/TZA/820/Add.1 and G/TBT/N/UGA/1675/Add.1 was adopted by Uganda on 6 August 2024 as a Uganda Standard, US EAS 299:2023 Edible sunflower oil — Specification. The Uganda Standard, US EAS 299:2023 Edible sunflower oil — Specification, can be purchased online through the link: https://webstore.unbs.go.ug/</t>
  </si>
  <si>
    <t>Nuts (ICS code(s): 21.060.20)</t>
  </si>
  <si>
    <t>DEAS 803: 2022, Nutrition labelling― Requirements</t>
  </si>
  <si>
    <t>The aim of this addendum is to update WTO Members that the Draft East African Standard, DEAS 803: 2022, Nutrition labelling― Requirements notified in G/TBT/N/BDI/216, G/TBT/N/KEN/1225, G/TBT/N/RWA/642, G/TBT/N/TZA/717, G/TBT/N/UGA/1549, G/TBT/N/BDI/216/Add.1, G/TBT/N/KEN/1225/Add.1, G/TBT/N/RWA/642/Add.1, G/TBT/N/TZA/717/Add.1 and G/TBT/N/UGA/1549/Add.1  was adopted by Uganda on 6 August 2024 as a Uganda Standard, US EAS 803:2023, Nutrition labelling― Requirements, Second Edition. The Uganda Standard, US EAS 803:2023, Nutrition labelling― Requirements, Second Edition, Second Edition, can be purchased online through the link: https://webstore.unbs.go.ug/</t>
  </si>
  <si>
    <t>Food standards; Nutrition information; Labelling; Nutrition information; Labelling; Food standards</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</si>
  <si>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Quality requirements (TBT); Quality requirements (TBT); Reducing trade barriers and facilitating trade (TBT); Reducing trade barriers and facilitating trade (TBT); Cost saving and productivity enhancement (TBT); Cost saving and productivity enhancement (TBT)</t>
  </si>
  <si>
    <t>Nutrition information; Labelling; Food standards; Food standards; Nutrition information; Labelling; Food standards</t>
  </si>
  <si>
    <t>Energy Conservation Program: Energy Conservation Standards for Residential Clothes Washers </t>
  </si>
  <si>
    <t xml:space="preserve">The U.S. Department of Energy ("DOE") published a direct final rule (notified as G/TBT/N/USA/709/Rev.1/Add.2) to establish amended energy conservation standards for residential clothes washers in the Federal Register on 15 March 2024. DOE has determined that the comments received in response to the direct final rule do not provide a reasonable basis for withdrawing the direct final rule. Therefore, DOE provides this document confirming the effective and compliance dates of those standards. This document also clarifies the introductory notes to the appendices for the residential clothes washer test procedure to conform with the amended standards promulgated by direct final rule published on 15 March 2024.The technical correction in this document is effective 21 October 2024. The effective date of 15 July 2024, for the direct final rule published on 15 March 2024 (89 FR 19026) is confirmed. Compliance with the standards established in the direct final rule will be required on 1 March 2028.89 Federal Register (FR) 84065, 21 October 2024; Title 10 Code of Federal Regulations (CFR) Part 430_x000D_
https://www.govinfo.gov/content/pkg/FR-2024-10-21/html/2024-24154.htm_x000D_
https://www.govinfo.gov/content/pkg/FR-2024-10-21/pdf/2024-24154.pdfThis and other actions notified under the symbol G/TBT/N/USA/709/Rev.1 are identified by Docket Number EERE-2017-BT-STD-0014. The Docket Folder is available from Regulations.gov at https://www.regulations.gov/docket/EERE-2017-BT-STD-0014/document and provides access to primary and supporting documents as well as comments received. Documents are also accessible from Regulations.gov by searching the Docket Number. </t>
  </si>
  <si>
    <t xml:space="preserve">Fully-automatic household or laundry-type washing machines, of a dry linen capacity </t>
  </si>
  <si>
    <t>845011 - Fully-automatic household or laundry-type washing machines, of a dry linen capacity &lt;= 6 kg; 845011 - Fully-automatic household or laundry-type washing machines, of a dry linen capacity &lt;= 6 kg</t>
  </si>
  <si>
    <t>13.020 - Environmental protection; 13.020 - Environmental protection; 97.060 - Laundry appliances; 97.060 - Laundry appliances</t>
  </si>
  <si>
    <d:r xmlns:d="http://schemas.openxmlformats.org/spreadsheetml/2006/main">
      <d:rPr>
        <d:sz val="11"/>
        <d:rFont val="Calibri"/>
      </d:rPr>
      <d:t xml:space="preserve">https://members.wto.org/crnattachments/2024/TBT/USA/final_measure/24_07086_00_e.pdf
https://members.wto.org/crnattachments/2024/TBT/USA/24_07086_01_e.pdf</d:t>
    </d:r>
  </si>
  <si>
    <t xml:space="preserve">The draft Order of the Ministry of Health of Ukraine "On Approval of Amendments to the Procedure for Confirmation of Compliance of Manufacturing Conditions of Medicines with the Requirements of Good Manufacturing Practice" has been developed pursuant to Article 9-1 “Peculiarities of state registration of medicines that may be procured by a person authorised to conduct procurement in the healthcare sector” of the Law of Ukraine "On Medicines", as well as to confirm compliance of manufacturing conditions with the requirements of good manufacturing practice for those medicines procured by a person authorized to conduct procurement in the healthcare sector._x000D_
The draft Order provides for the regulation of the procedure for confirming the compliance of the manufacturing conditions of medicines registered by the competent authority of the United States of America, the Swiss Confederation, Japan, Australia, Canada, a Member State of European Union, or registered by the competent authority of European Union under a centralised procedure. This is intended for the purposes of procurement conducted by a person authorised to carry out procurement in the healthcare sector, in accordance with the requirements of Good Manufacturing Practice (GMP) issued by the competent authority of the USA, Switzerland, Japan, Australia, Canada, and EU Member State, based on the results of an inspection for compliance with GMP requirements. </t>
  </si>
  <si>
    <d:r xmlns:d="http://schemas.openxmlformats.org/spreadsheetml/2006/main">
      <d:rPr>
        <d:sz val="11"/>
        <d:rFont val="Calibri"/>
      </d:rPr>
      <d:t xml:space="preserve">https://members.wto.org/crnattachments/2024/TBT/UKR/24_07161_00_e.pdf
https://members.wto.org/crnattachments/2024/TBT/UKR/24_07161_00_x.pdf
https://members.wto.org/crnattachments/2024/TBT/UKR/24_07161_01_x.pdf
https://moz.gov.ua/uk/povidomlennya-pro-oprilyudnennya-proyektu-nakazu-ministerstva-ohoroni-zdorov-ya-ukrayini-pro-zatverdzhennya-zmin-do-poryadku-provedennya-pidtverdzhennya-vidpovidnosti-umov-virobnictva-likarskih-zasobiv-vimogam-nalezhnoyi-virobnichoyi-praktiki</d:t>
    </d:r>
  </si>
  <si>
    <t>Draft Food Safety and Standards (Food Products Standards and Food Additives) Amendment Regulations, 2024</t>
  </si>
  <si>
    <t>The Draft Food Safety and Standards (Food Products Standards and Food Additives) Amendment Regulations, 2024 contains provisions related to the use of Natamycin (INS 235) in Chakka and Shrikhand.</t>
  </si>
  <si>
    <d:r xmlns:d="http://schemas.openxmlformats.org/spreadsheetml/2006/main">
      <d:rPr>
        <d:sz val="11"/>
        <d:rFont val="Calibri"/>
      </d:rPr>
      <d:t xml:space="preserve">https://members.wto.org/crnattachments/2024/SPS/IND/24_07082_00_x.pdf
https://fssai.gov.in/upload/uploadfiles/files/Gazette%20Notification_270824.pdf</d:t>
    </d:r>
  </si>
  <si>
    <t>Proyecto de Resolución Directoral para el establecimiento de requisitos fitosanitarios de necesario cumplimiento en la importación de semillas de paulownia (Paulownia elongata y Paulownia tomentosa) de origen y procedencia Estados Unidos de América (Draft Directorial Resolution establishing mandatory phytosanitary requirements governing the importation of Paulownia (Paulownia elongata and Paulownia tomentosa) seeds originating in and coming from the United States of America)</t>
  </si>
  <si>
    <t>The notified draft Directorial Resolution sets out the phytosanitary requirements governing the importation into Peru of Paulownia (Paulownia elongata and Paulownia tomentosa) seeds originating in and coming from the United States of America, following the completion of the relevant pest risk analysis.</t>
  </si>
  <si>
    <t>Paulownia (Paulownia elongata and Paulownia tomentosa) seeds (HS code: 1209.99)</t>
  </si>
  <si>
    <t>120999 - Seeds, fruits and spores, for sowing (excl. leguminous vegetables and sweetcorn, coffee, tea, maté and spices, cereals, oil seeds and oleaginous fruits, beets, forage plants, vegetable seeds, and seeds of herbaceous plants cultivated mainly for flowers or used primarily in perfumery, medicaments or for insecticidal, fungicidal or similar purposes)</t>
  </si>
  <si>
    <d:r xmlns:d="http://schemas.openxmlformats.org/spreadsheetml/2006/main">
      <d:rPr>
        <d:sz val="11"/>
        <d:rFont val="Calibri"/>
      </d:rPr>
      <d:t xml:space="preserve">https://members.wto.org/crnattachments/2024/SPS/PER/24_07084_00_s.pdf
El texto lo puede descargar de la página web del SENASA
 cuya ruta es la siguiente:
http://www.senasa.gob.pe/senasa/consulta-publica/ (disponible en español)</d:t>
    </d:r>
  </si>
  <si>
    <t>Food standards; Food standards; Labelling; Nutrition information; Nutrition information; Labelling; Food standards</t>
  </si>
  <si>
    <t>DEAS 1097:2022, Cattle feedlot operations — Specification, First Edition</t>
  </si>
  <si>
    <t>The aim of this addendum is to update WTO Members that the Draft East African Standard, DEAS 1097:2022, Cattle feedlot operations — Specification, First Edition notified in G/TBT/N/BDI/243, G/TBT/N/KEN/1262, G/TBT/N/RWA/673, G/TBT/N/TZA/783, G/TBT/N/UGA/1597, G/TBT/N/BDI/243/Add.1, G/TBT/N/KEN/1262/Add.1, G/TBT/N/RWA/673/Add.1, G/TBT/N/TZA/783/Add.1 and G/TBT/N/UGA/1597/Add.1  was adopted by Uganda on 6 August 2024 as a Uganda Standard, US EAS 1097:2023, Cattle feedlot operations — Specification, First Edition. The Uganda Standard, US EAS 1097:2023, Cattle feedlot operations — Specification, First Edition, can be purchased online through the link: https://webstore.unbs.go.ug/</t>
  </si>
  <si>
    <t>- - Other (HS code(s): 010229); Livestock buildings, installations and equipment (ICS code(s): 65.040.10)</t>
  </si>
  <si>
    <t>010229 - Live cattle (excl. pure-bred for breeding); 010229 - Live cattle (excl. pure-bred for breeding)</t>
  </si>
  <si>
    <t>65.040.10 - Livestock buildings, installations and equipment; 65.040.10 - Livestock buildings, installations and equipment</t>
  </si>
  <si>
    <t>Prevention of deceptive practices and consumer protection (TBT); Protection of animal or plant life or health (TBT)</t>
  </si>
  <si>
    <t xml:space="preserve">Energy Conservation Program: Energy Conservation Standards for 
Oil, Electric, and Weatherized Gas Consumer Furnaces</t>
  </si>
  <si>
    <t xml:space="preserve">The Energy Policy and Conservation Act, as amended ("EPCA"), prescribes energy conservation standards for various consumer products and certain commercial and industrial equipment, including non- weatherized oil-fired furnaces ("NWOFs"), mobile home oil-fired furnaces ("MHOFs"), weatherized gas furnaces ("WGFs"), weatherized oil-fired furnaces ("WOFs"), and electric furnaces ("EFs"). EPCA also requires the U.S. Department of Energy ("DOE") to periodically review its existing standards to determine whether more-stringent, amended standards would be technologically feasible and economically justified, and would result in significant energy savings. In this final determination, DOE has determined that the energy conservation standards for EFs, NWOFs, MHOFs, WOFs, and WGFs do not need to be amended.The effective date of this final determination is 18 November 2024.89 Federal Register (FR) 84028, 18 October 2024; Title 10 Code of Federal Regulations (CFR) Part 430_x000D_
https://www.govinfo.gov/content/pkg/FR-2024-10-18/html/2024-23906.htm_x000D_
https://www.govinfo.gov/content/pkg/FR-2024-10-18/pdf/2024-23906.pdf_x000D_
This final determination and other actions notified under the symbol G/TBT/N/USA/1655 identified by Docket Number EERE-2021-BT-STD-0031. The Docket Folder is available from Regulations.gov at https://www.regulations.gov/docket/EERE-2021-BT-STD-0031/document and provides access to primary and supporting documents as well as comments received. Documents are also accessible from Regulations.gov by searching the Docket Number. </t>
  </si>
  <si>
    <t>Residential furnaces and commercial water heaters</t>
  </si>
  <si>
    <t>13.020 - Environmental protection; 13.020 - Environmental protection; 23.120 - Ventilators. Fans. Air-conditioners; 23.120 - Ventilators. Fans. Air-conditioners; 27.080 - Heat pumps; 27.080 - Heat pumps</t>
  </si>
  <si>
    <d:r xmlns:d="http://schemas.openxmlformats.org/spreadsheetml/2006/main">
      <d:rPr>
        <d:sz val="11"/>
        <d:rFont val="Calibri"/>
      </d:rPr>
      <d:t xml:space="preserve">https://members.wto.org/crnattachments/2024/TBT/USA/final_measure/24_07016_00_e.pdf</d:t>
    </d:r>
  </si>
  <si>
    <t>DEAS 1094:2022, Poultry feed premix — Specification, First Edition</t>
  </si>
  <si>
    <t>The aim of this addendum is to update WTO Members that the Draft East African Standard, DEAS 1094:2022, Poultry feed premix — Specification, First Edition notified in  G/TBT/N/BDI/241, G/TBT/N/KEN/1260, G/TBT/N/RWA/671, G/TBT/N/TZA/781 and G/TBT/N/UGA/1594 was adopted by Uganda on 6 August 2024 as a Uganda Standard, US EAS 1094:2023, Poultry feed premix — Specification, First Edition. The Uganda Standard, US EAS 1094:2023, Poultry feed premix — Specification, First Edition, can be purchased online through the link: https://webstore.unbs.go.ug/</t>
  </si>
  <si>
    <t>- Other (HS code(s): 230990); Animal feeding stuffs (ICS code(s): 65.120)</t>
  </si>
  <si>
    <t>230990 - Preparations of a kind used in animal feeding (excl. dog or cat food put up for retail sale); 230990 - Preparations of a kind used in animal feeding (excl. dog or cat food put up for retail sale)</t>
  </si>
  <si>
    <t>65.120 - Animal feeding stuffs; 65.120 - Animal feeding stuffs</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</si>
  <si>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Quality requirements (TBT); Quality requirements (TBT)</t>
  </si>
  <si>
    <t>Animal feed; Animal feed</t>
  </si>
  <si>
    <t>DEAS 1095:2022, Dairy cattle feed premix — Specification, First Edition</t>
  </si>
  <si>
    <t>The aim of this addendum is to update WTO Members that the Draft East African Standard, DEAS 1095:2022, Dairy cattle feed premix — Specification, First Edition notified in  G/TBT/N/BDI/242, G/TBT/N/KEN/1261, G/TBT/N/RWA/672, G/TBT/N/TZA/782, G/TBT/N/UGA/1595, G/TBT/N/BDI/242/Add.1, G/TBT/N/KEN/1261/Add.1, G/TBT/N/RWA/672/Add.1, G/TBT/N/TZA/782/Add.1 and G/TBT/N/UGA/1595/Add.1 was adopted by Uganda on 6 August 2024 as a Uganda Standard, US EAS 1095:2023, Dairy cattle feed premix — Specification, First Edition. The Uganda Standard, US EAS 1095:2023, Dairy cattle feed premix — Specification, First Edition, can be purchased online through the link: https://webstore.unbs.go.ug/</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</si>
  <si>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Protection of animal or plant life or health (TBT); Protection of animal or plant life or health (TBT); Quality requirements (TBT); Quality requirements (TBT)</t>
  </si>
  <si>
    <t>DEAS 753: 2021, Seed potato — Requirements for certification, First Edition 2022</t>
  </si>
  <si>
    <t>The aim of this addendum is to update WTO Members that the Draft East African Standard, DEAS 753: 2021, Seed potato — Requirements for certification, First Edition 2022 notified in G/TBT/N/BDI/272, G/TBT/N/KEN/1300, G/TBT/N/RWA/706, G/TBT/N/TZA/825, G/TBT/N/UGA/1680, G/TBT/N/BDI/272/Add.1, G/TBT/N/KEN/1300/Add.1, G/TBT/N/RWA/706/Add.1, G/TBT/N/TZA/825/Add.1 and G/TBT/N/UGA/1680/Add.1  was adopted by Uganda on 6 August 2024 as a Uganda Standard, US EAS 753:2023, Seed potato — Requirements for certification, Second Edition. The Uganda Standard, US EAS 753:2023, Seed potato — Requirements for certification, Second Edition, can be purchased online through the link: https://webstore.unbs.go.ug/</t>
  </si>
  <si>
    <t>- Seed (HS code(s): 070110); Plant growing (ICS code(s): 65.020.20)</t>
  </si>
  <si>
    <t>Consumer information, labelling (TBT); Consumer information, labelling (TBT); Prevention of deceptive practices and consumer protection (TBT); Prevention of deceptive practices and consumer protection (TBT); Protection of animal or plant life or health (TBT); Protection of animal or plant life or health (TBT); Quality requirements (TBT); Quality requirements (TBT); Harmonization (TBT); Harmonization (TBT); Reducing trade barriers and facilitating trade (TBT); Reducing trade barriers and facilitating trade (TBT); Cost saving and productivity enhancement (TBT); Cost saving and productivity enhancement (TBT)</t>
  </si>
  <si>
    <t>Exempt Resolution No. 5.780/2024: Amendment to Resolution No. 1.742 of 6 March 2019 establishing phytosanitary import requirements for unrooted Vitis spp. cuttings from the United States of America Chile hereby advises that Exempt Resolution No. 5.780/2024 amending Resolution No. 1.742 of 6 March 2019 establishing phytosanitary import requirements for unrooted Vitis spp. cuttings from the United States of America entered into force on 18 October 2024. https://members.wto.org/crnattachments/2024/SPS/CHL/24_07001_00_s.pdf</t>
  </si>
  <si>
    <t>Unrooted Vitis spp. cuttings</t>
  </si>
  <si>
    <t>0806 - Grapes, fresh or dried; 0806 - Grapes, fresh or dried</t>
  </si>
  <si>
    <t>Pests; Plant health; Adoption/publication/entry into force of reg.; Pests; Plant health</t>
  </si>
  <si>
    <d:r xmlns:d="http://schemas.openxmlformats.org/spreadsheetml/2006/main">
      <d:rPr>
        <d:sz val="11"/>
        <d:rFont val="Calibri"/>
      </d:rPr>
      <d:t xml:space="preserve">https://members.wto.org/crnattachments/2024/SPS/CHL/24_07001_00_s.pdf</d:t>
    </d:r>
  </si>
  <si>
    <t>RTH 29.04.04.24: EFICIENCIA ENERGÉTICA. MOTORES DE CORRIENTE ALTERNA, TRIFÁSICOS, DE INDUCCIÓN, TIPO JAULA DE ARDILLA, EN POTENCIA NOMINAL DE 0,746 A 373 kW. LÍMITES, MÉTODO DE PRUEBA Y ETIQUETADO (Honduran Technical Regulation (RTH) No. 29.04.04.24: Energy efficiency. Three-phase squirrel-cage AC induction motors, with nominal power of between 0.746 and 373 kW. Limits, test method and labelling) (43 pages, in Spanish)</t>
  </si>
  <si>
    <t xml:space="preserve">The notified regulation establishes the relevant nominal and minimum efficiency values, the efficiency testing method, the approval criteria, and the minimum amount of specifications information to be included on the nameplates of three-phase squirrel-cage electric AC induction motors, open or enclosed, with nominal power of between 0.746 kW and 373 kW, imported into Honduras. The following are covered by the notified Regulation: • Three-phase squirrel-cage electric AC induction motors, with nominal power of between 0.746 kW and 373 kW; • Operation at three-phase AC voltages of 60 Hz, and nominal voltage of up to 600 V, singly or at any combination of voltages; • Nominal frequency of 60 Hz or 50 Hz for operation at 60 Hz; G/TBT/N/HND/104 - 2 -   • Operation at a nominal frequency of 60 Hz, open or enclosed, mounted horizontally or vertically, and continuous-duty operation.</t>
  </si>
  <si>
    <d:r xmlns:d="http://schemas.openxmlformats.org/spreadsheetml/2006/main">
      <d:rPr>
        <d:sz val="11"/>
        <d:rFont val="Calibri"/>
      </d:rPr>
      <d:t xml:space="preserve">Texto disponible en el sitio web: https://sde.gob.hn/wp-content/uploads/2024/10/RTH-27.03.03.24-Instalaciones-solares-termicas-de-baja-temperatura.-Req.-basicos-de-Instalacion.pdf</d:t>
    </d:r>
  </si>
  <si>
    <t>DEAS 1096-2:2022, Hay as animal feed — Specification — Part 2: Legume hay, First Edition</t>
  </si>
  <si>
    <t>The aim of this addendum is to update WTO Members that the Draft East African Standard, DEAS 1096-2:2022, Hay as animal feed — Specification — Part 2: Legume hay, First Edition notified in  G/TBT/N/BDI/237, G/TBT/N/KEN/1256, G/TBT/N/RWA/667, G/TBT/N/TZA/777, G/TBT/N/UGA/1590, G/TBT/N/BDI/237/Add.1, G/TBT/N/KEN/1256/Add.1, G/TBT/N/RWA/667/Add.1, G/TBT/N/TZA/777/Add.1 and G/TBT/N/UGA/1590/Add.1 was adopted by Uganda on 6 August 2024 as a Uganda Standard, US EAS 1096-2:2023, Hay as animal feed — Specification — Part 2: Legume hay, First Edition. The Uganda Standard, US EAS 1096-2:2023, Hay as animal feed — Specification — Part 2: Legume hay, First Edition, can be purchased online through the link: https://webstore.unbs.go.ug/</t>
  </si>
  <si>
    <t>- Other (HS code(s): 121490); Animal feeding stuffs (ICS code(s): 65.120)</t>
  </si>
  <si>
    <t>121490 - Swedes, mangolds, fodder roots, hay, lucerne "alfalfa", clover, sainfoin, forage kale, lupines, vetches and similar forage products, whether or not in the form of pellets (excl. lucerne "alfalfa" meal and pellets); 121490 - Swedes, mangolds, fodder roots, hay, lucerne "alfalfa", clover, sainfoin, forage kale, lupines, vetches and similar forage products, whether or not in the form of pellets (excl. lucerne "alfalfa" meal and pellets)</t>
  </si>
  <si>
    <t>Salmonella Framework for Raw Poultry Products</t>
  </si>
  <si>
    <t>FSIS is announcing its proposed determination that raw chicken carcasses, chicken parts, comminuted chicken, and comminuted turkey products contaminated with certain Salmonella levels and serotypes are adulterated within the meaning of the Poultry Products Inspection Act. The proposed determination would establish final product standards based on these Salmonella levels and serotypes and would prevent raw chicken carcasses, chicken parts, comminuted chicken, and comminuted turkey products that contain Salmonella at the levels and serotypes that would render them adulterated from entering commerce. FSIS is also proposing to revise the regulations that require that all poultry slaughter establishments develop, implement, and maintain written procedures to prevent contamination by enteric pathogens throughout the entire slaughter and dressing operation to clarify that these procedures must include a microbial monitoring program that incorporates statistical process control monitoring methods, to require sampling at rehang instead of pre-chill, and to require that all establishments conduct paired sampling at rehang and post-chill.</t>
  </si>
  <si>
    <t>Poultry and poultry products</t>
  </si>
  <si>
    <t>0301 - Live fish; 02 - MEAT AND EDIBLE MEAT OFFAL; 0302 - Fish, fresh or chilled (excl. fish fillets and other fish meat of heading 0304);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0407 - Birds' eggs, in shell, fresh, preserved or cooked; 0302 - Fish, fresh or chilled (excl. fish fillets and other fish meat of heading 0304); 0301 - Live fish; 02 - MEAT AND EDIBLE MEAT OFFAL;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0407 - Birds' eggs, in shell, fresh, preserved or cooked</t>
  </si>
  <si>
    <t>Zoonoses; Salmonella; Food safety; Human health; Modification of final date for comments; Salmonella; Zoonoses; Food safety; Human health</t>
  </si>
  <si>
    <t>Flazasulfuron; Pesticide Tolerance - Final Rule</t>
  </si>
  <si>
    <t xml:space="preserve">This regulation establishes the tolerance for residues of the herbicide 
Flazasulfuron in or on Avocado.</t>
  </si>
  <si>
    <t>Avocados</t>
  </si>
  <si>
    <d:r xmlns:d="http://schemas.openxmlformats.org/spreadsheetml/2006/main">
      <d:rPr>
        <d:sz val="11"/>
        <d:rFont val="Calibri"/>
      </d:rPr>
      <d:t xml:space="preserve">https://www.govinfo.gov/content/pkg/FR-2024-10-07/html/2024-23085.htm</d:t>
    </d:r>
  </si>
  <si>
    <t>Turkish Food Codex Regulation on Novel Foods</t>
  </si>
  <si>
    <t>"Turkish Food Codex Regulation on Novel Foods" was notified through G/SPS/N/TUR/124 on 1 June 2022 and the notified draft Regulation has not been enacted.As detailed changes have been made to the scope and content of this Draft Regulation, the notification G/SPS/N/TUR/124 is hereby withdrawn.</t>
  </si>
  <si>
    <t>Human health; Food safety; Withdrawal of the measure; Human health; Food safety</t>
  </si>
  <si>
    <t>DEAS 1093:2022, Compounded horse feed — Specification, First Edition</t>
  </si>
  <si>
    <t>The aim of this addendum is to update WTO Members that the Draft East African Standard, DEAS 1093:2022, Compounded horse feed — Specification, First Edition notified in  G/TBT/N/BDI/240, G/TBT/N/KEN/1259, G/TBT/N/RWA/670, G/TBT/N/TZA/780, G/TBT/N/UGA/1593, G/TBT/N/BDI/240/Add.1, G/TBT/N/KEN/1259/Add.1, G/TBT/N/RWA/670/Add.1, G/TBT/N/TZA/780/Add.1 and G/TBT/N/UGA/1593/Add.1 was adopted by Uganda on 6 August 2024 as a Uganda Standard,  USEAS 1093:2023, Compounded horse feed — Specification, First Edition. The Uganda Standard, US EAS 1093:2023, Compounded horse feed — Specification, First Edition, can be purchased online through the link: https://webstore.unbs.go.ug/</t>
  </si>
  <si>
    <t>Consumer information, labelling (TBT); Consumer information, labelling (TBT); Prevention of deceptive practices and consumer protection (TBT); Prevention of deceptive practices and consumer protection (TBT); Protection of animal or plant life or health (TBT); Protection of animal or plant life or health (TBT); Quality requirements (TBT); Quality requirements (TBT)</t>
  </si>
  <si>
    <t>Wireless Microphones in the TV Bands, 600 MHz Guard Band, 600 MHz Duplex Gap, and the 941.5-944 MHz, 944-952 MHz, 952.850-956.250 MHz, 956.45-959.85 MHz, 1435-1525 MHz, 6875-6900 MHz and 7100-7125 MHz Bands</t>
  </si>
  <si>
    <t xml:space="preserve">In this document, the Federal Communications Commission (Commission) revises the technical rules for low-power auxiliary station (LPAS) devices to permit a recently developed type of wireless microphone system, termed herein as a Wireless Multichannel Audio System (WMAS), to operate in the broadcast television (TV) bands and other LPAS frequency bands on a licensed basis. The Commission adopts technical rules for licensed WMAS operations in specific frequency bands under our LPAS rules and also permits WMAS to operate on an unlicensed basis under the rules in the TV bands and 600 MHz duplex gap. The Commission updates its existing LPAS and technical rules for wireless microphones, which already rely on certain European Telecommunications Standards Institute (ETSI) standards, to incorporate the latest version of that standard where appropriate. Finally, the Commission updates the wireless microphone rules to reflect the end of the post-Incentive Auction transition period. The Commission's goal in the FCC document is to increase wireless microphone spectral efficiency and enable more intensive use in the spectrum available for such operations.This rule is effective 18 November 2024. The incorporation by reference of certain material listed in this rule is approved by the Director of the Federal Register as of 18 November 2024.89 Federal Register (FR) 83789, 18 October 2024; Title 47 Code of Federal Regulations (CFR) Parts 15 and 74_x000D_
https://www.govinfo.gov/content/pkg/FR-2024-10-18/html/2024-23959.htm_x000D_
https://www.govinfo.gov/content/pkg/FR-2024-10-18/pdf/2024-23959.pdf_x000D_
https://docs.fcc.gov/public/attachments/FCC-24-22A1.pdfThis final rule is identified by ET Docket No. 21-115 and RM-11821FCC 24-22 and provides access to associated documents. The full text of the proposed rule is available from the Commission's website at https://docs.fcc.gov/public/attachments/FCC-24-22A1.pdf. Documents are also accessible from the FCC's Electronic Document Management System (EDOCS) by searching the Docket Number. Comments (“filings”) posted by the FCC in the Electronic Comment Filing System (ECFS) are accessible as follows: https://www.fcc.gov/ecfs/search/search-filings/results?q=(proceedings.name:(%2221-115%22))https://www.fcc.gov/ecfs/search/search-filings/results?q=(proceedings.name:(%22RM-11821%22))https://www.fcc.gov/ecfs/search/search-filings/results?q=(proceedings.name:(%22RM-11821%22))</t>
  </si>
  <si>
    <t>Wireless Microphones; Wireless Multi-Channel Audio System (WMAS)</t>
  </si>
  <si>
    <t>03.120 - Quality; 03.120 - Quality; 33.160 - Audio, video and audiovisual engineering; 33.160 - Audio, video and audiovisual engineering; 33.170 - Television and radio broadcasting; 33.170 - Television and radio broadcasting</t>
  </si>
  <si>
    <t>Prevention of deceptive practices and consumer protection (TBT); Quality requirements (TBT); Harmonization (TBT); Cost saving and productivity enhancement (TBT)</t>
  </si>
  <si>
    <d:r xmlns:d="http://schemas.openxmlformats.org/spreadsheetml/2006/main">
      <d:rPr>
        <d:sz val="11"/>
        <d:rFont val="Calibri"/>
      </d:rPr>
      <d:t xml:space="preserve">https://members.wto.org/crnattachments/2024/TBT/USA/final_measure/24_07017_00_e.pdf
https://members.wto.org/crnattachments/2024/TBT/USA/final_measure/24_07017_01_e.pdf</d:t>
    </d:r>
  </si>
  <si>
    <t>DEAS 1092:2022, Compounded rabbit feed — Specification, First Edition</t>
  </si>
  <si>
    <t>The aim of this addendum is to update WTO Members that the Draft East African Standard, DEAS 1092:2022, Compounded rabbit feed — Specification, First Edition notified in  G/TBT/N/BDI/238, G/TBT/N/KEN/1257, G/TBT/N/RWA/668, G/TBT/N/TZA/778, G/TBT/N/UGA/1591, G/TBT/N/BDI/238/Add.1, G/TBT/N/KEN/1257/Add.1, G/TBT/N/RWA/668/Add.1, G/TBT/N/TZA/778/Add.1, G/TBT/N/UGA/1591/Add.1 was adopted by Uganda on 6 August 2024 as a Uganda Standard, US EAS 1092:2024, Compounded rabbit feed — Specification, First Edition. The Uganda Standard, US EAS 1092:2024, Compounded rabbit feed — Specification, First Edition, can be purchased online through the link: https://webstore.unbs.go.ug/</t>
  </si>
  <si>
    <t>Consumer information, labelling (TBT); Prevention of deceptive practices and consumer protection (TBT); Protection of animal or plant life or health (TBT)</t>
  </si>
  <si>
    <t>Bananas</t>
  </si>
  <si>
    <t>This standard applies to varieties of Bananas, to be supplied fresh to consumer, after preparation and packaging. Bananas intended for cooking only (plantains) or industrial processing are excluded.</t>
  </si>
  <si>
    <t>080390 - Fresh or dried bananas (excl. plantains)</t>
  </si>
  <si>
    <t>67.080 - Fruits. Vegetables</t>
  </si>
  <si>
    <d:r xmlns:d="http://schemas.openxmlformats.org/spreadsheetml/2006/main">
      <d:rPr>
        <d:sz val="11"/>
        <d:rFont val="Calibri"/>
      </d:rPr>
      <d:t xml:space="preserve">https://members.wto.org/crnattachments/2024/TBT/KWT/24_07063_00_e.pdf
https://members.wto.org/crnattachments/2024/TBT/KWT/24_07063_00_x.pdf</d:t>
    </d:r>
  </si>
  <si>
    <t>Draft "Turkish Food Codex Regulation on Novel Foods" were notified through G/TBT/N/TUR/199 on 09 June 2022 and the notified draft Regulation has not been enacted.As detailed changes have been made to the scope and content of this Draft Regulation, the notification G/TBT/N/TUR/199 is hereby withdrawn. Two notifications will be made soon to the SPS and TBT Committees regarding Draft Turkish Food Codex Regulation on Novel Foods and Turkish Food Codex Communiqué on Implementation on Novel Foods.</t>
  </si>
  <si>
    <t>Prevention of deceptive practices and consumer protection (TBT); Prevention of deceptive practices and consumer protection (TBT); Protection of animal or plant life or health (TBT); Protection of animal or plant life or health (TBT)</t>
  </si>
  <si>
    <t>The aim of this addendum is to update WTO Members that the Draft East African Standard, DEAS 1097:2022, Cattle feedlot operations — Specification, First Edition notified in  G/TBT/N/BDI/243, G/TBT/N/KEN/1262, G/TBT/N/RWA/673, G/TBT/N/TZA/783, G/TBT/N/UGA/1597, G/TBT/N/BDI/243/Add.1, G/TBT/N/KEN/1262/Add.1, G/TBT/N/RWA/673/Add.1, G/TBT/N/TZA/783/Add.1 and G/TBT/N/UGA/1597/Add.1 was adopted by Uganda on 6 August 2024 as a Uganda Standard, US EAS 1097:2023, Cattle feedlot operations — Specification, First Edition. The Uganda Standard, US EAS 1097:2023, Cattle feedlot operations — Specification, First Edition, can be purchased online through the link: https://webstore.unbs.go.ug/</t>
  </si>
  <si>
    <t>DEAS 1096-1:2022, Hay as animal feed — Specification — Part 1: Grass hay, First Edition</t>
  </si>
  <si>
    <t>The aim of this addendum is to update WTO Members that the Draft East African Standard, DEAS 1096-1:2022, Hay as animal feed — Specification — Part 1: Grass hay, First Edition notified in  G/TBT/N/BDI/239, G/TBT/N/KEN/1258, G/TBT/N/RWA/669, G/TBT/N/TZA/779, G/TBT/N/UGA/1592,  G/TBT/N/BDI/239/Add.1, G/TBT/N/KEN/1258/Add.1, G/TBT/N/RWA/669/Add.1, G/TBT/N/TZA/779/Add.1 and G/TBT/N/UGA/1592/Add.1 was adopted by Uganda on 6 August 2024 as a Uganda Standard, US EAS 1096-1:2023, Hay as animal feed — Specification — Part 1: Grass hay, First Edition. The Uganda Standard, US EAS 1096-1:2023, Hay as animal feed — Specification — Part 1: Grass hay, First Edition, can be purchased online through the link: https://webstore.unbs.go.ug/</t>
  </si>
  <si>
    <t>Consumer information, labelling (TBT); Prevention of deceptive practices and consumer protection (TBT); Protection of human health or safety (TBT); Protection of animal or plant life or health (TBT); Quality requirements (TBT)</t>
  </si>
  <si>
    <t>Draft Order of the Ministry of Agrarian Policy and Food of Ukraine  “On Amendments to the Order of the Ministry of Agrarian Policy and Food of Ukraine No. 330 of 19 June 2019”</t>
  </si>
  <si>
    <t xml:space="preserve">The draft Order of the Ministry of Agrarian Policy and Food of Ukraine proposes amendments to the Requirements for Honey, approved by the Order of the Ministry of Agrarian Policy and Food No. 330 of 19 June 2019 in terms of establishing requirements for indicating product name on bulk containers, packaging, and trade documents, as well as provisions regarding the composition, labelling, and origin of honey. The updated Requirements for Honey will be presented in a revised version.  _x000D_
These amendments aim to align the Requirements for honey with the provisions of Council Directive 2001/110/EC of 20 December 2001 relating to honey, while also incorporating amendments introduced by Directive (EU) 2024/1438 of the European Parliament and of the Council of 14 May 2024 amending Council Directives 2001/110/EC relating to honey, 2001/112/EC relating to fruit juices and certain similar products intended for human consumption, 2001/113/EC relating to fruit jams, jellies and marmalades and sweetened chestnut purée intended for human consumption, and 2001/114/EC relating to certain partly or wholly dehydrated preserved milk for human consumption. _x000D_
It is also established that honey that meets the requirements in effect prior to the entry into force of this Order, but does not comply with the provisions of the Requirements for Honey approved by this Order, may be produced and/or placed on the market for three years from the date of entry into force of this Order. Such honey may remain in circulation until its consumption date or the expiration of its minimum shelf life.</t>
  </si>
  <si>
    <t>Natural honey. (HS code(s): 0409)</t>
  </si>
  <si>
    <t>Consumer information, labelling (TBT); Protection of human health or safety (TBT); Harmonization (TBT)</t>
  </si>
  <si>
    <d:r xmlns:d="http://schemas.openxmlformats.org/spreadsheetml/2006/main">
      <d:rPr>
        <d:sz val="11"/>
        <d:rFont val="Calibri"/>
      </d:rPr>
      <d:t xml:space="preserve">https://members.wto.org/crnattachments/2024/TBT/UKR/24_06995_00_e.pdf
https://members.wto.org/crnattachments/2024/TBT/UKR/24_06995_00_x.pdf
https://members.wto.org/crnattachments/2024/TBT/UKR/24_06995_01_x.pdf</d:t>
    </d:r>
  </si>
  <si>
    <t>Consumer information, labelling (TBT); Consumer information, labelling (TBT); Prevention of deceptive practices and consumer protection (TBT); Prevention of deceptive practices and consumer protection (TBT); Protection of animal or plant life or health (TBT); Protection of animal or plant life or health (TBT)</t>
  </si>
  <si>
    <t>Turkish Food Codex Regulation on Novel Foods, 2024</t>
  </si>
  <si>
    <t>This Regulation lays down rules for the placing of novel foods on the market.Regulation covers procedure for determination of novel food status, requirements for placing novel foods on the market, and specific rules for traditional foods from other countries.Turkish Food Codex Communiqué on Implementation Procedure on Novel Foods is also being prepared and will be notified separately.</t>
  </si>
  <si>
    <d:r xmlns:d="http://schemas.openxmlformats.org/spreadsheetml/2006/main">
      <d:rPr>
        <d:sz val="11"/>
        <d:rFont val="Calibri"/>
      </d:rPr>
      <d:t xml:space="preserve">https://members.wto.org/crnattachments/2024/TBT/TUR/24_07011_00_x.pdf</d:t>
    </d:r>
  </si>
  <si>
    <t>The Draft Food Safety and Standards (Fortification of Foods) Amendment Regulations, 2024.  </t>
  </si>
  <si>
    <t>Draft Food Safety and Standards (Fortification of Foods) Amendment Regulations, 2024 for removal of  the  advisory regarding Thalassemia and Sickle Cell Anaemia..</t>
  </si>
  <si>
    <d:r xmlns:d="http://schemas.openxmlformats.org/spreadsheetml/2006/main">
      <d:rPr>
        <d:sz val="11"/>
        <d:rFont val="Calibri"/>
      </d:rPr>
      <d:t xml:space="preserve">https://members.wto.org/crnattachments/2024/TBT/IND/24_06996_00_x.pdf</d:t>
    </d:r>
  </si>
  <si>
    <d:r xmlns:d="http://schemas.openxmlformats.org/spreadsheetml/2006/main">
      <d:rPr>
        <d:sz val="11"/>
        <d:rFont val="Calibri"/>
      </d:rPr>
      <d:t xml:space="preserve">Texto disponible en el sitio web: https://sde.gob.hn/wp-content/uploads/2024/10/RTH-29.04.04.24-Eficiencia-energetica.-Motores-de-corriente-alterna.-Limites-metodo-de-prueba-y-etiquetado.pdf</d:t>
    </d:r>
  </si>
  <si>
    <t>Turkish Food Codex Regulation on Novel Foods </t>
  </si>
  <si>
    <t>This Regulation lays down rules for the placing of novel foods on the market.Regulation covers procedure for determination of novel food status, requirements for placing novel foods on the market, and specific rules for traditional foods from other countries.</t>
  </si>
  <si>
    <d:r xmlns:d="http://schemas.openxmlformats.org/spreadsheetml/2006/main">
      <d:rPr>
        <d:sz val="11"/>
        <d:rFont val="Calibri"/>
      </d:rPr>
      <d:t xml:space="preserve">https://members.wto.org/crnattachments/2024/SPS/TUR/24_07004_00_x.pdf</d:t>
    </d:r>
  </si>
  <si>
    <t>DRS 588: 2024, Quality Service Management in Public Sector — Requirements for institutionalization and accountability</t>
  </si>
  <si>
    <t xml:space="preserve">This Draft Rwanda Standards specifies requirements for institutionalization and accountability in achieving service excellence within any public institution regardless of the nature and/ or complexity of their operations/ mandate._x000D_
It is designed to enable public institution to:_x000D_
a) demonstrate its ability to consistently provide services that meet citizen/beneficiary expectations applicable statutory and regulatory requirements,_x000D_
b) enhance citizen/beneficiary satisfaction by efficiently integrating the requirement of this standard, including mechanism for accountability and processes for ensuring compliance with citizen/beneficiary’s expectations, as well applicable statutory and regulatory requirements, and_x000D_
c) regularly monitor and evaluate the effectiveness of the institutional quality service management for continual improvement. </t>
  </si>
  <si>
    <t>Management systems (ICS code(s): 03.100.70)</t>
  </si>
  <si>
    <t>03.100.70 - Management systems</t>
  </si>
  <si>
    <d:r xmlns:d="http://schemas.openxmlformats.org/spreadsheetml/2006/main">
      <d:rPr>
        <d:sz val="11"/>
        <d:rFont val="Calibri"/>
      </d:rPr>
      <d:t xml:space="preserve">https://members.wto.org/crnattachments/2024/TBT/RWA/24_07005_00_e.pdf</d:t>
    </d:r>
  </si>
  <si>
    <t>Extension of CE (‘Conformité Européenne’) marking for construction products in Great Britain </t>
  </si>
  <si>
    <t>The United Kingdom (UK) Government has announced that the recognition of Conformité Européenne’ (CE) marking for a subset of construction products placed on the market in Great Britain will continue beyond the previously stated deadline of the 30 June 2025. This legislation applies to Great Britain (England, Scotland and Wales).The longer-term future of CE marking (and the UK’s ‘United Kingdom Conformity Assessed’ (UKCA) marking) in Great Britain will be considered as part of the system wide reform of the construction products regulatory regime. Any subsequent changes to the recognition of CE marking would be subject to a minimum 2-year transitional period.</t>
  </si>
  <si>
    <t>Products covered fall under the Construction Products (Amendment etc.) (EU Exit) Regulations 2019 and the Construction Products (Amendment etc.) (EU Exit) Regulations 2020. These regulations in Great Britain cover a range of construction products, and routes to achieve CE marking for construction products. The overarching legal framework for CE marking recognition in Great Britain (GB), is the 2011 regulation that can be found here: Regulation (EU) No 305/2011 of the European Parliament and of the Council of 9 March 2011 laying down harmonised conditions for the marketing of construction products and repealing Council Directive 89/106/EEC (Text with EEA relevance) (legislation.gov.uk)The Construction Product Regulations will continue to be in force and apply to all products within scope. This extension applies to all products within scope. These are products which are covered by a designated standard. The list of the designated standards can be found here: Designated standards: construction products - GOV.UK (www.gov.uk)) or subject to a technical assessment, please see a list here: ‘Pre-Exit’ European Assessment Documents: construction products - GOV.UK (www.gov.uk).</t>
  </si>
  <si>
    <t>8531 - Electric sound or visual signalling apparatus, e.g. bells, sirens, indicator panels, burglar or fire alarms (excl. those for cycles, motor vehicles and traffic signalling); parts thereof; 7016 - Paving blocks, slabs, bricks, squares, tiles and other articles of pressed or moulded glass, whether or not wired, for building or construction purposes (excl. laminated safety glass and multiple-walled insulating units of glass); glass cubes and glass smallwares, whether or not on a backing, for mosaics or similar; leaded lights and similar; multicellular or foam glass in blocks, panels, plates, shells or like, n.e.s; 6810 - Articles of cement, concrete or artificial stone, whether or not reinforced; 7610 - Structures and parts of structures "e.g., bridges and bridge-sections, towers, lattice masts, pillars and columns, roofs, roofing frameworks, doors and windows and their frames and thresholds for doors, shutters, balustrades", of aluminium (excl. prefabricated buildings of heading 9406); plates, rods, profiles, tubes and the like, prepared for use in structures, of aluminium</t>
  </si>
  <si>
    <t>91 - CONSTRUCTION MATERIALS AND BUILDING</t>
  </si>
  <si>
    <t>Consumer information, labelling (TBT); Reducing trade barriers and facilitating trade (TBT)</t>
  </si>
  <si>
    <d:r xmlns:d="http://schemas.openxmlformats.org/spreadsheetml/2006/main">
      <d:rPr>
        <d:sz val="11"/>
        <d:rFont val="Calibri"/>
      </d:rPr>
      <d:t xml:space="preserve">https://www.legislation.gov.uk/uksi/2020/1359/contents/made</d:t>
    </d:r>
  </si>
  <si>
    <t>Order related to requirement of Health certificate accompanied with imported food consignment of Milk and Milk Products, Pork and Pork Products &amp; Fish and Fish Products</t>
  </si>
  <si>
    <t>The draft notification on requirement of Health certificate accompanied with the import of food consignments into India was notified to the WTO as document G/TBT/N/IND/233.In order to facilitate trade, the “Veterinary Health Certificate for Import of Milk and Milk Products into India” incorporating DAHD’s sanitary requirements and FSSAI food safety requirements was published on 31 March 2023, enforced with immediate effect. However, the provision was kept that it will be completely in operation after transition / migration time of 60 days.Later, the transition / migration time had been extended till 31 December 2023, 30 June 2024, 31 July 2024 and 31 October 2024 vide Office Memorandum dated 17 July 2023, 3 January 2024, 10 July 2024 and 7 August 2024, respectively.https://dahd.nic.in/sites/default/filess/OM7August2024OnIntegratedVHCForImportOfMilkAndMilkProducts.pdf</t>
  </si>
  <si>
    <t>Food products (Milk and Milk Products, Pork and Pork products &amp; Fish and Fishery Products)</t>
  </si>
  <si>
    <t>02 - MEAT AND EDIBLE MEAT OFFAL; 03 - FISH AND CRUSTACEANS, MOLLUSCS AND OTHER AQUATIC INVERTEBRATES; 04 - DAIRY PRODUCE; BIRDS' EGGS; NATURAL HONEY; EDIBLE PRODUCTS OF ANIMAL ORIGIN, NOT ELSEWHERE SPECIFIED OR INCLUDED; 04 - DAIRY PRODUCE; BIRDS' EGGS; NATURAL HONEY; EDIBLE PRODUCTS OF ANIMAL ORIGIN, NOT ELSEWHERE SPECIFIED OR INCLUDED; 03 - FISH AND CRUSTACEANS, MOLLUSCS AND OTHER AQUATIC INVERTEBRATES; 02 - MEAT AND EDIBLE MEAT OFFAL</t>
  </si>
  <si>
    <d:r xmlns:d="http://schemas.openxmlformats.org/spreadsheetml/2006/main">
      <d:rPr>
        <d:sz val="11"/>
        <d:rFont val="Calibri"/>
      </d:rPr>
      <d:t xml:space="preserve">https://members.wto.org/crnattachments/2024/TBT/IND/modification/24_06997_00_e.pdf
https://members.wto.org/crnattachments/2024/TBT/IND/modification/24_06997_01_e.pdf</d:t>
    </d:r>
  </si>
  <si>
    <t>Energy Conservation Program: Energy Conservation Standards for Consumer Furnace Fans</t>
  </si>
  <si>
    <t xml:space="preserve">The Energy Policy and Conservation Act, as amended ("EPCA"), prescribes energy conservation standards for various consumer products and certain commercial and industrial equipment, including consumer furnace fans. EPCA also requires the U.S. Department of Energy ("DOE") to periodically review its existing standards to determine whether more-stringent, amended standards would be technologically feasible and economically justified, and would result in significant energy savings. In this final determination, DOE has determined the energy conservation standards for consumer furnace fans do not need to be amended.The effective date of this final determination is 18 November 2024.89 Federal Register (FR) 83990, 18 October 2024; Title 10 Code of Federal Regulations (CFR) Part 430_x000D_
https://www.govinfo.gov/content/pkg/FR-2024-10-18/html/2024-23907.htm_x000D_
https://www.govinfo.gov/content/pkg/FR-2024-10-18/pdf/2024-23907.pdf_x000D_
This final determination and other actions notified under the symbol G/TBT/N/USA/863 are identified by Docket Number EERE-2021-BT-STD-0029. The Docket Folder is available on Regulations.gov at https://www.regulations.gov/docket/EERE-2021-BT-STD-0029/document and provides access to primary and supporting documents as well as comments received. Documents are also accessible from Regulations.gov by searching the Docket Number. </t>
  </si>
  <si>
    <t>Residential furnace fans</t>
  </si>
  <si>
    <t>8414 - Air or vacuum pumps (excl. gas compound elevators and pneumatic elevators and conveyors); air or other gas compressors and fans; ventilating or recycling hoods incorporating a fan, whether or not fitted with filters; parts thereof; 8414 - Air or vacuum pumps (excl. gas compound elevators and pneumatic elevators and conveyors); air or other gas compressors and fans; ventilating or recycling hoods incorporating a fan, whether or not fitted with filters; parts thereof</t>
  </si>
  <si>
    <t>13.020 - Environmental protection; 13.020 - Environmental protection; 23.120 - Ventilators. Fans. Air-conditioners; 23.120 - Ventilators. Fans. Air-conditioners</t>
  </si>
  <si>
    <d:r xmlns:d="http://schemas.openxmlformats.org/spreadsheetml/2006/main">
      <d:rPr>
        <d:sz val="11"/>
        <d:rFont val="Calibri"/>
      </d:rPr>
      <d:t xml:space="preserve">https://members.wto.org/crnattachments/2024/TBT/USA/final_measure/24_07015_00_e.pdf</d:t>
    </d:r>
  </si>
  <si>
    <t>Consumer information, labelling (TBT); Prevention of deceptive practices and consumer protection (TBT); Protection of animal or plant life or health (TBT); Quality requirements (TBT)</t>
  </si>
  <si>
    <t>Proyecto de Resolución Directoral para el establecimiento de requisitos fitosanitarios de importación de manzana fruta fresca (Malus domestica Borkh.) de origen y procedencia Brasil (Draft Directorial Resolution establishing the phytosanitary requirements governing the importation of fresh apples (Malus domestica Borkh.) originating in and coming from Brazil)</t>
  </si>
  <si>
    <t>The notified draft phytosanitary requirements governing the importation of fresh apples (Malus domestica Borkh.) originating in and coming from Brazil are being submitted for public consultation following the completion of the pest risk analysis.</t>
  </si>
  <si>
    <t>Apples, fresh (HS code: 0808.10)</t>
  </si>
  <si>
    <d:r xmlns:d="http://schemas.openxmlformats.org/spreadsheetml/2006/main">
      <d:rPr>
        <d:sz val="11"/>
        <d:rFont val="Calibri"/>
      </d:rPr>
      <d:t xml:space="preserve">https://members.wto.org/crnattachments/2024/SPS/PER/24_06998_00_s.pdf
El texto lo puede descargar de la página web del SENASA
 cuya ruta es la siguiente:
http://www.senasa.gob.pe/senasa/consulta-publica/ (disponible en español)</d:t>
    </d:r>
  </si>
  <si>
    <t>Consumer information, labelling (TBT); Prevention of deceptive practices and consumer protection (TBT); Protection of animal or plant life or health (TBT); Quality requirements (TBT); Harmonization (TBT); Reducing trade barriers and facilitating trade (TBT); Cost saving and productivity enhancement (TBT)</t>
  </si>
  <si>
    <t>National food safety standard of the P.R.C: Food additive Sodium Alginate</t>
  </si>
  <si>
    <t>This standard applies to food additive sodium alginate made from brown algae through extraction and processing. It specifies the technical requirements and testing methods for the food additive sodium alginate. </t>
  </si>
  <si>
    <t>Food additive Sodium Alginate (HS code: 1302391200)</t>
  </si>
  <si>
    <t>130239 - Mucilages and thickeners derived from vegetable products, whether or not modified (excl. from locust beans, locust bean seeds, guar seeds and agar-agar)</t>
  </si>
  <si>
    <d:r xmlns:d="http://schemas.openxmlformats.org/spreadsheetml/2006/main">
      <d:rPr>
        <d:sz val="11"/>
        <d:rFont val="Calibri"/>
      </d:rPr>
      <d:t xml:space="preserve">https://members.wto.org/crnattachments/2024/SPS/CHN/24_06960_00_x.pdf</d:t>
    </d:r>
  </si>
  <si>
    <t>DEAS 58 -2:2021, Compounded dog food — Specification — Part 2: Complementary food, First Edition</t>
  </si>
  <si>
    <t>The aim of this addendum is to update WTO Members that the Draft East African Standard, DEAS 58 -2:2021, Compounded dog food — Specification — Part 2: Complementary food, First Edition notified in G/TBT/N/BDI/235, G/TBT/N/KEN/1252, G/TBT/N/RWA/665, G/TBT/N/TZA/775, G/TBT/N/UGA/1588, G/TBT/N/BDI/235/Add.1, G/TBT/N/KEN/1252/Add.1, G/TBT/N/RWA/665/Add.1, G/TBT/N/TZA/775/Add.1 and G/TBT/N/UGA/1588/Add.1 was adopted by Uganda on 6 August 2024 as a Uganda Standard, US EAS 58-2:2024, Compounded dog food — Specification — Part 2: Complementary food, First Edition. The Uganda Standard,  US EAS 58-2:2024, Compounded dog food — Specification — Part 2: Complementary food, First Edition, can be purchased online through the link: https://webstore.unbs.go.ug/</t>
  </si>
  <si>
    <t>- Dog or cat food, put up for retail sale (HS code(s): 230910); Animal feeding stuffs (ICS code(s): 65.120)</t>
  </si>
  <si>
    <t>230910 - Dog or cat food, put up for retail sale; 230910 - Dog or cat food, put up for retail sale</t>
  </si>
  <si>
    <t>Consumer information, labelling (TBT); Prevention of deceptive practices and consumer protection (TBT); Protection of animal or plant life or health (TBT); Quality requirements (TBT); Reducing trade barriers and facilitating trade (TBT)</t>
  </si>
  <si>
    <t>DEAS 1227: 2024, Domestic cooking ranges for use with Liquefied Petroleum Gases —Specification, First Edition</t>
  </si>
  <si>
    <t>This Draft East African Standard specifies construction, performance, operation, safety requirements and tests for domestic cooking ranges having an oven, with thermostat only, for burning gases at a rate not exceeding 1 500 g/h, intended for use with Liquefied Petroleum Gases at 2.942 KN/m2 (30 gf/cm2) gas inlet pressure.</t>
  </si>
  <si>
    <t>Stoves, ranges, grates, cookers, incl. those with subsidiary boilers for central heating, barbecues, braziers, gas rings, plate warmers and similar non-electric domestic appliances, and parts thereof of iron or steel (excl. boilers and radiators for central heating, geysers and hot water cylinders) (HS code(s): 7321); Vessels and containers mounted on vehicles (ICS code(s): 23.020.20)</t>
  </si>
  <si>
    <t>7321 - Stoves, ranges, grates, cookers, incl. those with subsidiary boilers for central heating, barbecues, braziers, gas rings, plate warmers and similar non-electric domestic appliances, and parts thereof of iron or steel (excl. boilers and radiators for central heating, geysers and hot water cylinders)</t>
  </si>
  <si>
    <t>23.020.20 - Vessels and containers mounted on vehicles</t>
  </si>
  <si>
    <d:r xmlns:d="http://schemas.openxmlformats.org/spreadsheetml/2006/main">
      <d:rPr>
        <d:sz val="11"/>
        <d:rFont val="Calibri"/>
      </d:rPr>
      <d:t xml:space="preserve">https://members.wto.org/crnattachments/2024/TBT/TZA/24_06977_00_e.pdf</d:t>
    </d:r>
  </si>
  <si>
    <t>DEAS 1226: 2024, Low pressure Liquefied Petroleum Gas (LPG) regulator for use with LPG cylinder valve — Specification, First edition</t>
  </si>
  <si>
    <t>This Draft East African Standard specifies materials, construction, performance, safety and testing requirements for low-pressure single-stage regulator for use with liquefied petroleum gas mixtures in the vapour phase and designed for a set outlet pressure of 3.0 kPa (0.4 Psi) and a flow not exceeding 2 kg/h.</t>
  </si>
  <si>
    <t>Processes in the food industry (ICS code(s): 67.020)</t>
  </si>
  <si>
    <t>848190 - Parts of valves and similar articles for pipes, boiler shells, tanks, vats or the like, n.e.s.</t>
  </si>
  <si>
    <t>23.020.30 - Pressure vessels</t>
  </si>
  <si>
    <t>Consumer information, labelling (TBT); Prevention of deceptive practices and consumer protection (TBT); Protection of human health or safety (TBT); Protection of the environment (TBT); Quality requirements (TBT); Harmonization (TBT); Reducing trade barriers and facilitating trade (TBT); Cost saving and productivity enhancement (TBT)</t>
  </si>
  <si>
    <d:r xmlns:d="http://schemas.openxmlformats.org/spreadsheetml/2006/main">
      <d:rPr>
        <d:sz val="11"/>
        <d:rFont val="Calibri"/>
      </d:rPr>
      <d:t xml:space="preserve">https://members.wto.org/crnattachments/2024/TBT/TZA/24_06972_00_e.pdf</d:t>
    </d:r>
  </si>
  <si>
    <t>DEAS 1224-1: 2024, Gas cylinders - Part 1: Refillable welded low carbon cylinders for liquefied petroleum gas (LPG) exceeding 5-litre water capacity- Filling, distribution and retailing of Liquefied Petroleum Gas in cylinders- Code of practice, First edition</t>
  </si>
  <si>
    <t>This  Draft  East  African  Standard  gives a code of practice to be followed in the filling, distribution and retailing of liquefied petroleum gas in cylinders</t>
  </si>
  <si>
    <t>Containers for compressed or liquefied gas, of iron or steel. (HS code(s): 7311); Pressure vessels (ICS code(s): 23.020.30)</t>
  </si>
  <si>
    <t>7311 - Containers for compressed or liquefied gas, of iron or steel.</t>
  </si>
  <si>
    <t>Prevention of deceptive practices and consumer protection (TBT); Protection of human health or safety (TBT); Protection of the environment (TBT); Harmonization (TBT); Cost saving and productivity enhancement (TBT)</t>
  </si>
  <si>
    <d:r xmlns:d="http://schemas.openxmlformats.org/spreadsheetml/2006/main">
      <d:rPr>
        <d:sz val="11"/>
        <d:rFont val="Calibri"/>
      </d:rPr>
      <d:t xml:space="preserve">https://members.wto.org/crnattachments/2024/TBT/TZA/24_06987_00_e.pdf</d:t>
    </d:r>
  </si>
  <si>
    <t>DEAS 1225: 2024, High pressure regulator for use with Liquefied Petroleum Gas —Specification, First Edition</t>
  </si>
  <si>
    <t>This Draft East African Standard specifies materials, construction, performance and testing requirements for variable high-pressure regulators for liquefied petroleum gases (butane, propane and their mixtures) in the vapour phase above 50g gf/cm2 outlet pressure.</t>
  </si>
  <si>
    <t>Parts of valves and similar articles for pipes, boiler shells, tanks, vats or the like, n.e.s. (HS code(s): 848190); Pressure vessels (ICS code(s): 23.020.30)</t>
  </si>
  <si>
    <d:r xmlns:d="http://schemas.openxmlformats.org/spreadsheetml/2006/main">
      <d:rPr>
        <d:sz val="11"/>
        <d:rFont val="Calibri"/>
      </d:rPr>
      <d:t xml:space="preserve">https://members.wto.org/crnattachments/2024/TBT/TZA/24_06967_00_e.pdf</d:t>
    </d:r>
  </si>
  <si>
    <t>DEAS 1224-2:2024, Liquefied petroleum gas cylinders — Part 2: Safe use of Liquefied Petroleum Gas (LPG) in domestic dwellings — Code of practice, First Edition</t>
  </si>
  <si>
    <t xml:space="preserve">This Draft East African Standard deals with the safe use of Liquefied Petroleum Gas (propane and butane) stored either in cylinders or in bulk containers in domestic dwellings._x000D_
This standard applies to cylinders up to 50 Kg net weight of LPG’</t>
  </si>
  <si>
    <d:r xmlns:d="http://schemas.openxmlformats.org/spreadsheetml/2006/main">
      <d:rPr>
        <d:sz val="11"/>
        <d:rFont val="Calibri"/>
      </d:rPr>
      <d:t xml:space="preserve">https://members.wto.org/crnattachments/2024/TBT/TZA/24_06982_00_e.pdf</d:t>
    </d:r>
  </si>
  <si>
    <t>DARS 2119 Dried shredded cassava (Abacha) — Specification</t>
  </si>
  <si>
    <t>EDIBLE VEGETABLES AND CERTAIN ROOTS AND TUBERS (HS code(s): 07); Food products in general (ICS code(s): 67.040)</t>
  </si>
  <si>
    <d:r xmlns:d="http://schemas.openxmlformats.org/spreadsheetml/2006/main">
      <d:rPr>
        <d:sz val="11"/>
        <d:rFont val="Calibri"/>
      </d:rPr>
      <d:t xml:space="preserve">https://members.wto.org/crnattachments/2024/TBT/KEN/24_06951_00_e.pdf</d:t>
    </d:r>
  </si>
  <si>
    <t xml:space="preserve">For directly purchased imported foods, etc., the information of products which contain or are likely to contain narcotic raw materials or ingredients should mandatorily be published on the official website at least once a year.   _x000D_
Mandatory inspection should be conducted on directly purchased imported foods, etc. which are likely to contain narcotic raw materials or ingredients .  _x000D_
Mandatory fact-finding surveys should be conducted at least once a year for directly purchased imported foods, etc. which contain or are likely to contain narcotic raw materials or ingredients.</t>
  </si>
  <si>
    <d:r xmlns:d="http://schemas.openxmlformats.org/spreadsheetml/2006/main">
      <d:rPr>
        <d:sz val="11"/>
        <d:rFont val="Calibri"/>
      </d:rPr>
      <d:t xml:space="preserve">https://members.wto.org/crnattachments/2024/SPS/KOR/24_06957_00_x.pdf</d:t>
    </d:r>
  </si>
  <si>
    <t>National food safety standard of the P.R.C.:Food additive mono- and diglycerides of fatty acids” Amendment No. 1</t>
  </si>
  <si>
    <t>3.2 physicochemical indexesAdd the Table 2 note “Commercial mono- and diglycerides of fatty acids product must use mono- and diglycerides of fatty acids in accordance with this standard as raw material, may added the food ingredients that is necessary for the process and (or) vitamin E, vitamin C, ascorbyl palmitate, BHT, phospholipids, citric acid and its salts, silica, stearate and acidity regulator conform to quality specifications for food additives.”</t>
  </si>
  <si>
    <t>Food additive mono- and diglycerides of fatty acids</t>
  </si>
  <si>
    <d:r xmlns:d="http://schemas.openxmlformats.org/spreadsheetml/2006/main">
      <d:rPr>
        <d:sz val="11"/>
        <d:rFont val="Calibri"/>
      </d:rPr>
      <d:t xml:space="preserve">https://members.wto.org/crnattachments/2024/SPS/CHN/24_06962_00_x.pdf</d:t>
    </d:r>
  </si>
  <si>
    <t>National food safety standard of the P.R.C.:Maximum Levels of Contaminates in Foods (GB 2762-2022) Amendment No. 2 </t>
  </si>
  <si>
    <t>The Maximum levels of metal contaminants in dried meat products are revised. </t>
  </si>
  <si>
    <t>Dried meat products</t>
  </si>
  <si>
    <t>0210 - Meat and edible offal, salted, in brine, dried or smoked; edible flours and meals of meat or meat offal; 0209 - Pig fat, free of lean meat, and poultry fat, not rendered or otherwise extracted, fresh, chilled, frozen, salted, in brine, dried or smoked</t>
  </si>
  <si>
    <t>Human health; Food safety; Heavy metals; Contaminants</t>
  </si>
  <si>
    <d:r xmlns:d="http://schemas.openxmlformats.org/spreadsheetml/2006/main">
      <d:rPr>
        <d:sz val="11"/>
        <d:rFont val="Calibri"/>
      </d:rPr>
      <d:t xml:space="preserve">https://members.wto.org/crnattachments/2024/SPS/CHN/24_06964_00_x.pdf</d:t>
    </d:r>
  </si>
  <si>
    <t>Draft Commission Implementing Regulation amending Implementing Regulation (EU) 2019/2072 as regards measures to prevent the presence of the Tomato brown rugose fruit virus on plants for planting of Solanum lycopersicum L. and hybrids thereof and of Capsicum annuum L, establishing the frequency rates of official controls, and repealing Implementing Regulation (EU)2023/1032</t>
  </si>
  <si>
    <t>G/SPS/N/EU/798 contains an error. In Item 6, “Regulation (EU) 2022/1032” should read “Regulation (EU)2023/1032”.</t>
  </si>
  <si>
    <t>Plant health; Plant health</t>
  </si>
  <si>
    <t>Notice of Proposed Rulemaking Title 27, California Code of Regulations Safe Harbor Warnings for Acrylamide Exposure from Food</t>
  </si>
  <si>
    <t>California’s Office of Environmental Health Hazard Assessment (OEHHA) has amended Title 27, California Code of Regulations 25607.2(b), to provide an additional safe harbor warning option for businesses that cause significant exposures to acrylamide from food products.The Office of Administrative Law (OAL) approved the rulemaking on 4 October 2024. The effective date for the regulation is 1 January 2025.Final Statement of Reasons Article 6 Clear and Reasonable WarningsFinal Regulatory Text of Acrylamide WarningComment Submissions - Notice of Proposed Rulemaking Title 27, California Code of Regulations Safe Harbor Warnings for Acrylamide Exposure from Food</t>
  </si>
  <si>
    <t>Acrylamide exposure from food; Protection against dangerous goods (ICS code(s): 13.300); Food products in general (ICS code(s): 67.040)</t>
  </si>
  <si>
    <t>13.300 - Protection against dangerous goods; 67.040 - Food products in general; 13.300 - Protection against dangerous goods; 67.040 - Food products in general</t>
  </si>
  <si>
    <d:r xmlns:d="http://schemas.openxmlformats.org/spreadsheetml/2006/main">
      <d:rPr>
        <d:sz val="11"/>
        <d:rFont val="Calibri"/>
      </d:rPr>
      <d:t xml:space="preserve">https://members.wto.org/crnattachments/2024/TBT/USA/final_measure/24_06954_00_e.pdf
https://members.wto.org/crnattachments/2024/TBT/USA/final_measure/24_06954_01_e.pdf
https://oehha.ca.gov/proposition-65/crnr/safe-harbor-warnings-acrylamide-exposure-food</d:t>
    </d:r>
  </si>
  <si>
    <t>Energy Conservation Program: Energy Conservation Standards for Residential Dishwashers</t>
  </si>
  <si>
    <t xml:space="preserve">The U.S. Department of Energy ("DOE") published a direct final rule to establish new energy conservation standards for dishwashers in the Federal Register on 24 April 2024 (notified as G/TBT/N/USA/945/Rev.1/Add.1). DOE has determined that the comments received in response to the direct final rule do not provide a reasonable basis for withdrawing the direct final rule. Therefore, DOE provides this document confirming the effective and compliance dates of those standards. This document also clarifies the introductory notes to the appendices for the dishwasher test procedure to conform with the amended standards promulgated by direct final rule published on 24 April 2024. This document also corrects an error in the amended regulatory text as it appeared in the direct final rule published on 24 April 2024.The technical correction in this document is effective 17 October 2024. The effective date of 22 August 2024, for the direct final rule published 24 April 2024 (89 FR 31398) is confirmed. Compliance with the standards established in the direct final rule will be required on 23 April 2027.89 Federal Register (FR) 83611, 17 October 2024; Title 10 Code of Federal Regulations (CFR) Part 430_x000D_
https://www.govinfo.gov/content/pkg/FR-2024-10-17/html/2024-23908.htm_x000D_
https://www.govinfo.gov/content/pkg/FR-2024-10-17/pdf/2024-23908.pdfThis action and previous actions notified under the symbol G/TBT/N/USA/945/Rev.1 are identified by Docket Number EERE-2019-BT-STD-0039. The Docket Folder is available on Regulations.gov at https://www.regulations.gov/docket/EERE-2019-BT-STD-0039/document and provides access to primary and supporting documents as well as comments received. Documents are also accessible from Regulations.gov by searching the Docket Number.</t>
  </si>
  <si>
    <t>Dishwashers;  Dish washing machines: (HS code(s): 84221); Environmental protection (ICS code(s): 13.020); Dishwashers (ICS code(s): 97.040.40)</t>
  </si>
  <si>
    <t>842211 - Dishwashing machines of the household type; 84221 - - Dish washing machines:; 842211 - Dishwashing machines of the household type; 84221 - - Dish washing machines:</t>
  </si>
  <si>
    <t>13.020 - Environmental protection; 97.040 - Kitchen equipment; 97.040 - Kitchen equipment; 97.040.40 - Dishwashers; 13.020 - Environmental protection; 97.040.40 - Dishwashers</t>
  </si>
  <si>
    <d:r xmlns:d="http://schemas.openxmlformats.org/spreadsheetml/2006/main">
      <d:rPr>
        <d:sz val="11"/>
        <d:rFont val="Calibri"/>
      </d:rPr>
      <d:t xml:space="preserve">https://members.wto.org/crnattachments/2024/TBT/USA/final_measure/24_06956_00_e.pdf
https://members.wto.org/crnattachments/2024/TBT/USA/24_06956_01_e.pdf</d:t>
    </d:r>
  </si>
  <si>
    <t>Consumer information, labelling (TBT); Consumer information, labelling (TBT); Prevention of deceptive practices and consumer protection (TBT); Prevention of deceptive practices and consumer protection (TBT); Protection of animal or plant life or health (TBT); Protection of animal or plant life or health (TBT); Quality requirements (TBT); Quality requirements (TBT); Reducing trade barriers and facilitating trade (TBT); Reducing trade barriers and facilitating trade (TBT)</t>
  </si>
  <si>
    <t>Animal feed; Animal feed; Animal feed</t>
  </si>
  <si>
    <t>Proyecto de Resolución Directoral para el establecimiento de requisitos fitosanitarios de necesario cumplimiento en la importación de semillas de tomate (Solanum lycopersicum) de origen y procedencia India (Draft Directorial Resolution establishing mandatory phytosanitary requirements governing the importation of tomato (Solanum lycopersicum) seeds originating in and coming from India)</t>
  </si>
  <si>
    <t>The notified draft Directorial Resolution sets out the phytosanitary requirements for the importation into Peru of tomato (Solanum lycopersicum) seeds originating in and coming from India, following the completion of the relevant pest risk analysis.</t>
  </si>
  <si>
    <t>Tomato (Solanum lycopersicum) seeds (HS code: 120991)</t>
  </si>
  <si>
    <d:r xmlns:d="http://schemas.openxmlformats.org/spreadsheetml/2006/main">
      <d:rPr>
        <d:sz val="11"/>
        <d:rFont val="Calibri"/>
      </d:rPr>
      <d:t xml:space="preserve">https://members.wto.org/crnattachments/2024/SPS/PER/24_06949_00_s.pdf
El texto lo puede descargar de la página web del SENASA
 cuya ruta es la siguiente:
http://www.senasa.gob.pe/senasa/consulta-publica/ (disponible en español)</d:t>
    </d:r>
  </si>
  <si>
    <t>Solar Systems, Devices and Components Goods Order, 2024</t>
  </si>
  <si>
    <t>Solar Photovoltaic (SPV) products mentioned in the column (2) of the table attached in the draft Quality Control Order shall conform to the corresponding Indian Standard given in the column (3) of the said table and shall bear the ‘Standard Mark’ under a licence from the Bureau of Indian Standards in accordance with Scheme-II of Schedule II of the Bureau of Indian Standards (Conformity assessment) Regulations, 2018.</t>
  </si>
  <si>
    <t>Solar Photovoltaic Products.</t>
  </si>
  <si>
    <d:r xmlns:d="http://schemas.openxmlformats.org/spreadsheetml/2006/main">
      <d:rPr>
        <d:sz val="11"/>
        <d:rFont val="Calibri"/>
      </d:rPr>
      <d:t xml:space="preserve">https://members.wto.org/crnattachments/2024/TBT/IND/24_06994_00_e.pdf</d:t>
    </d:r>
  </si>
  <si>
    <t>DARS 2160:2024 Fufu flour — Specification</t>
  </si>
  <si>
    <t>This Draft African Standard specifies the requirements, sampling and test methods for cassava, plantain, cocoyam and yam fufu flours produced from fresh, matured and sound edible cassava (Manihot esculenta Crantz), plantain (Musa paradisiaca AAB), cocoyam (Xanthosoma species) and yam (Discorea species) respectively. It is intended to be used for the preparation of fufu.</t>
  </si>
  <si>
    <t>EDIBLE VEGETABLES AND CERTAIN ROOTS AND TUBERS (HS code(s): 07); Fresh or dried plantains (HS code(s): 080310); Cereals, pulses and derived products (ICS code(s): 67.060)</t>
  </si>
  <si>
    <t>07 - EDIBLE VEGETABLES AND CERTAIN ROOTS AND TUBERS; 080310 - Fresh or dried plantains</t>
  </si>
  <si>
    <d:r xmlns:d="http://schemas.openxmlformats.org/spreadsheetml/2006/main">
      <d:rPr>
        <d:sz val="11"/>
        <d:rFont val="Calibri"/>
      </d:rPr>
      <d:t xml:space="preserve">https://members.wto.org/crnattachments/2024/TBT/KEN/24_06950_00_e.pdf</d:t>
    </d:r>
  </si>
  <si>
    <t>DEAS 1091:2022, Compounded cat food — Specification, First Edition</t>
  </si>
  <si>
    <t>The aim of this addendum is to update WTO Members that the Draft East African Standard, DEAS 1091:2022, Compounded cat food — Specification, First Edition notified in  G/TBT/N/BDI/236, G/TBT/N/KEN/1253, G/TBT/N/RWA/666, G/TBT/N/TZA/776, G/TBT/N/UGA/1589,  G/TBT/N/BDI/236/Add.1, G/TBT/N/KEN/1253/Add.1, G/TBT/N/RWA/666/Add.1, G/TBT/N/TZA/776/Add.1 and G/TBT/N/UGA/1589/Add.1 was adopted by Uganda on 6 August 2024 as a Uganda Standard, US EAS 1091:2024, Compounded cat food — Specification, First Edition. The Uganda Standard, US EAS 1091:2024, Compounded cat food — Specification, First Edition, can be purchased online through the link: https://webstore.unbs.go.ug/</t>
  </si>
  <si>
    <t>DARS 2116 Banku mix — Specification</t>
  </si>
  <si>
    <t>EDIBLE VEGETABLES AND CERTAIN ROOTS AND TUBERS (HS code(s): 07); Maize "corn" flour (HS code(s): 110220); Food products in general (ICS code(s): 67.040)</t>
  </si>
  <si>
    <t>110220 - Maize "corn" flour; 07 - EDIBLE VEGETABLES AND CERTAIN ROOTS AND TUBERS</t>
  </si>
  <si>
    <d:r xmlns:d="http://schemas.openxmlformats.org/spreadsheetml/2006/main">
      <d:rPr>
        <d:sz val="11"/>
        <d:rFont val="Calibri"/>
      </d:rPr>
      <d:t xml:space="preserve">https://members.wto.org/crnattachments/2024/TBT/KEN/24_06952_00_e.pdf</d:t>
    </d:r>
  </si>
  <si>
    <t>National food safety standard of the P.R.C.: Food additives Brilliant Blue FCF (GB 1886.217-2016) Amendment No. 1 </t>
  </si>
  <si>
    <t>Requirements for commercialized liquid Brilliant Blue FCF products.</t>
  </si>
  <si>
    <t>Food additives Brilliant Blue FCF</t>
  </si>
  <si>
    <d:r xmlns:d="http://schemas.openxmlformats.org/spreadsheetml/2006/main">
      <d:rPr>
        <d:sz val="11"/>
        <d:rFont val="Calibri"/>
      </d:rPr>
      <d:t xml:space="preserve">https://members.wto.org/crnattachments/2024/SPS/CHN/24_06961_00_x.pdf</d:t>
    </d:r>
  </si>
  <si>
    <t>The State of Washington Department of Ecology plans to publish the Draft Identification of Priority Products Report in early November, which identifies the draft priority consumer products for Cycle 2.DEC is holding the following online webinars, and will cover the same information during both webinars:Nov. 14 - Morning webinar at 9:30 a.m.Pacific Time) via ZoomNov. 14 - Evening webinar at 5:30 p.m.Pacific Time) via ZoomDEC will open a public comment period when the report is published to accept comments on the draft report. Cycle 1.5, phase 4: RulemakingDEC published a report regulating the use of PFAS in certain products and started rulemaking for cycle 1.5. A final rule will be in place by December 2025.In 2022, the Washington State Legislature asked us to create regulatory recommendations for some products that contain PFAS. In cycle 1.5, we’re looking at firefighting PPE (personal protective equipment) and other products from our 2021 PFAS chemical action plan (CAP), like apparel and gear, cleaning products, and motor vehicle washes and waxes.Cycle 2, phase 2: Identify priority chemicalsSee the published report identifying priority chemicals for cycle 2. DEC will continue working on chemical classes and specific products from cycle 1.5 that require more research and look at 6PPD in motorized vehicle tires. DEC will submit a report to the Legislature that lists the chemicals and chemical classes we plan to focus on for cycle 2.To learn more:Sign up for the Safer Products for Washington email listLegislative Session 2024: Focus on the Safer Products for Washington Program</t>
  </si>
  <si>
    <t>DUS 1659: 2022, Materials in contact with food — Requirements for packaging materials, Second edition</t>
  </si>
  <si>
    <t>The aim of this addendum is to inform WTO Members that the Draft Uganda Standard; DUS 1659: 2022, Materials in contact with food — Requirements for packaging materials, Second edition; notified in G/TBT/N/UGA/1610 and G/TBT/N/UGA/1610/Add.1 was adopted on 6 August 2024. The adopted Uganda Standard, US 1659:2024, Materials in contact with food — Requirements for packaging materials, Second edition, can be purchased online through the link: https://webstore.unbs.go.ug/</t>
  </si>
  <si>
    <t>Plastics and articles thereof (HS code(s): 39); Packaging materials and accessories (ICS code(s): 55.040), Materials in contact with food.</t>
  </si>
  <si>
    <t>39 - PLASTICS AND ARTICLES THEREOF; 39 - PLASTICS AND ARTICLES THEREOF</t>
  </si>
  <si>
    <t>55.040 - Packaging materials and accessories; 55.040 - Packaging materials and accessories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</si>
  <si>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t>
  </si>
  <si>
    <t>MEDC (2229) CD2, Food dryer — Methods of Test, First Edition</t>
  </si>
  <si>
    <t xml:space="preserve">This  Draft Tanzania Standard specifies the methods of test for food dryer. Specifically, this document_x000D_
shall be used to:_x000D_
a) Verify food dryer parameters against the list of specifications submitted by the manufacturer;_x000D_
b) Determine the performance of the food dryer;_x000D_
c) Evaluate the ease of handling and safety features; and_x000D_
d) Report the results of the tests</t>
  </si>
  <si>
    <t>- Dryers: (HS code(s): 84193); Farm buildings and installations in general (ICS code(s): 65.040.01)</t>
  </si>
  <si>
    <t>84193 - - Dryers:</t>
  </si>
  <si>
    <t>65.040.01 - Farm buildings and installations in general</t>
  </si>
  <si>
    <t>Prevention of deceptive practices and consumer protection (TBT); Protection of the environment (TBT); Cost saving and productivity enhancement (TBT)</t>
  </si>
  <si>
    <d:r xmlns:d="http://schemas.openxmlformats.org/spreadsheetml/2006/main">
      <d:rPr>
        <d:sz val="11"/>
        <d:rFont val="Calibri"/>
      </d:rPr>
      <d:t xml:space="preserve">https://members.wto.org/crnattachments/2024/TBT/TZA/24_06992_00_e.pdf</d:t>
    </d:r>
  </si>
  <si>
    <t>DUS 1584:2023, Organic Fertilizer — Specification, Second edition</t>
  </si>
  <si>
    <t>The aim of this addendum is to inform WTO Members that the Draft Uganda Standard; DUS 1584:2023, Organic Fertilizer — Specification, Second edition; notified in G/TBT/N/UGA/1731 was adopted on 6 August 2024. The adopted Uganda Standard, US 1584:2024, Organic Fertilizer — Specification, Second edition, can be purchased online through the link: https://webstore.unbs.go.ug/</t>
  </si>
  <si>
    <t xml:space="preserve">Animal or vegetable fertilisers, whether or not mixed together or chemically treated; fertilisers produced by the mixing or chemical treatment of animal or vegetable products (excl. those in pellet or similar forms, or in packages with a gross weight of </t>
  </si>
  <si>
    <t>3101 - Animal or vegetable fertilisers, whether or not mixed together or chemically treated; fertilisers produced by the mixing or chemical treatment of animal or vegetable products (excl. those in pellet or similar forms, or in packages with a gross weight of &lt;= 10 kg); 3101 - Animal or vegetable fertilisers, whether or not mixed together or chemically treated; fertilisers produced by the mixing or chemical treatment of animal or vegetable products (excl. those in pellet or similar forms, or in packages with a gross weight of &lt;= 10 kg)</t>
  </si>
  <si>
    <t>65.080 - Fertilizers; 65.080 - Fertilizers</t>
  </si>
  <si>
    <t>Consumer information, labelling (TBT); Prevention of deceptive practices and consumer protection (TBT); Protection of human health or safety (TBT); Protection of animal or plant life or health (TBT); Protection of the environment (TBT); Quality requirements (TBT); Reducing trade barriers and facilitating trade (TBT); Cost saving and productivity enhancement (TBT)</t>
  </si>
  <si>
    <t>DARS 2115 Tapioca pearls — Specification</t>
  </si>
  <si>
    <d:r xmlns:d="http://schemas.openxmlformats.org/spreadsheetml/2006/main">
      <d:rPr>
        <d:sz val="11"/>
        <d:rFont val="Calibri"/>
      </d:rPr>
      <d:t xml:space="preserve">https://members.wto.org/crnattachments/2024/TBT/KEN/24_06953_00_e.pdf</d:t>
    </d:r>
  </si>
  <si>
    <t>National food safety standard of the P.R.C.:  Food additive maltitol and maltitol syrup Amendment No.2</t>
  </si>
  <si>
    <t>4.2 physicochemical indexesAdd the Table 2 note “Commercial maltitol product must use maltitol in accordance with this standard as raw material, may added anticaking agents conform to quality specifications for food additives that is necessary for the process”.</t>
  </si>
  <si>
    <t>Food additive maltitol</t>
  </si>
  <si>
    <d:r xmlns:d="http://schemas.openxmlformats.org/spreadsheetml/2006/main">
      <d:rPr>
        <d:sz val="11"/>
        <d:rFont val="Calibri"/>
      </d:rPr>
      <d:t xml:space="preserve">https://members.wto.org/crnattachments/2024/SPS/CHN/24_06963_00_x.pdf</d:t>
    </d:r>
  </si>
  <si>
    <t>National food safety standard of the P.R.C: Food additive Erythritol</t>
  </si>
  <si>
    <t>This standard applies to food additive erythritol by fermentation of glucose with Yarrowia lipolytica or Moniliella pollinis or Trichosporonoides megachiliensis, then through refining. It specifies the technical requirements and testing methods for the food additive erythritol.</t>
  </si>
  <si>
    <t>Food additive Erythritol</t>
  </si>
  <si>
    <d:r xmlns:d="http://schemas.openxmlformats.org/spreadsheetml/2006/main">
      <d:rPr>
        <d:sz val="11"/>
        <d:rFont val="Calibri"/>
      </d:rPr>
      <d:t xml:space="preserve">https://members.wto.org/crnattachments/2024/SPS/CHN/24_06959_00_x.pdf</d:t>
    </d:r>
  </si>
  <si>
    <t>National Food Safety Standard of the P.R.C.: Standard for Flavourings</t>
  </si>
  <si>
    <t>This standard applies to flavouring substances and natural flavouring complexes authorized in National food safety standard of the P.R.C: Standard for Uses of Food Additives (GB 2760). The general requirements and testing methods for flavouring substances were amended.</t>
  </si>
  <si>
    <t>Flavouring substances</t>
  </si>
  <si>
    <d:r xmlns:d="http://schemas.openxmlformats.org/spreadsheetml/2006/main">
      <d:rPr>
        <d:sz val="11"/>
        <d:rFont val="Calibri"/>
      </d:rPr>
      <d:t xml:space="preserve">https://members.wto.org/crnattachments/2024/SPS/CHN/24_06958_00_x.pdf</d:t>
    </d:r>
  </si>
  <si>
    <t>National Food Safety Standard of the P.R.C.: Sterilized milk Amendment No. 1</t>
  </si>
  <si>
    <t>The reconstituted milk is no longer allowed as raw materials to produce sterilized milk.</t>
  </si>
  <si>
    <t>Sterilized milk</t>
  </si>
  <si>
    <d:r xmlns:d="http://schemas.openxmlformats.org/spreadsheetml/2006/main">
      <d:rPr>
        <d:sz val="11"/>
        <d:rFont val="Calibri"/>
      </d:rPr>
      <d:t xml:space="preserve">https://members.wto.org/crnattachments/2024/SPS/CHN/24_06965_00_x.pdf</d:t>
    </d:r>
  </si>
  <si>
    <t>MEDC 12 (2228) CD2,  Food dryer — Specification, First Edition</t>
  </si>
  <si>
    <t>This  Draft Tanzania Standard specifies the fabrication and performance requirements of food dryer for agricultural and fisheries products.</t>
  </si>
  <si>
    <t>Dryers, for agricultural products (excl. lyophilisation apparatus, freeze drying units and spray dryers) (HS code(s): 841934); Farm buildings and installations in general (ICS code(s): 65.040.01)</t>
  </si>
  <si>
    <t>841934 - Dryers, for agricultural products (excl. lyophilisation apparatus, freeze drying units and spray dryers)</t>
  </si>
  <si>
    <d:r xmlns:d="http://schemas.openxmlformats.org/spreadsheetml/2006/main">
      <d:rPr>
        <d:sz val="11"/>
        <d:rFont val="Calibri"/>
      </d:rPr>
      <d:t xml:space="preserve">https://members.wto.org/crnattachments/2024/TBT/TZA/24_06993_00_e.pdf</d:t>
    </d:r>
  </si>
  <si>
    <t>GBHC676 Aquaculture, ornamental and other purposes  </t>
  </si>
  <si>
    <t>The United Kingdom is introducing a new model health certificate for the import of aquatic animals for farming, ornamental use, relaying or depuration, ‘put and take’ fisheries and other purposes into Great Britain. This also includes the transit of live aquatic animals via Great Britain.  This new certificate will replace two existing certificates which will be removed from use (GBHC670 and GBHC671).</t>
  </si>
  <si>
    <t>Aquatic animals for farming, ornamental use, relaying or depuration, ‘put and take’ fisheries and other purposes; and live aquatic animals for transit via Great Britain(indicative products covered - 0301, 0306, 0307, 0511 – however, please note, this is not an exhaustive list)</t>
  </si>
  <si>
    <t>0511 - Animal products n.e.s.; dead animals of all types, unfit for human consumption; 0307 - Molluscs, fit for human consumption, even smoked, whether in shell or not, live, fresh, chilled, frozen, dried, salted or in brine; 0306 - Crustaceans, whether in shell or not, live, fresh, chilled, frozen, dried, salted or in brine, even smoked, incl. crustaceans in shell cooked by steaming or by boiling in water; 0301 - Live fish</t>
  </si>
  <si>
    <d:r xmlns:d="http://schemas.openxmlformats.org/spreadsheetml/2006/main">
      <d:rPr>
        <d:sz val="11"/>
        <d:rFont val="Calibri"/>
      </d:rPr>
      <d:t xml:space="preserve">https://members.wto.org/crnattachments/2024/SPS/GBR/24_06897_00_e.pdf</d:t>
    </d:r>
  </si>
  <si>
    <t>SB 1013 Addition of New Beverage Containers Informal Rulemaking - Draft Rules and Workshop </t>
  </si>
  <si>
    <t>The Department of Resources Recycling and Recovery (CalRecycle) will be holding an informal public workshop on 29 October 2024, from 10:00 AM to 4:00 PMPacific TimeThe purpose of this workshop is to consult with the public, the regulated community, and other interested persons to solicit feedback on draft regulatory language to add new beverages and new containers to the California Redemption Value (CRV) program that went into effect on 1 January 2024. The purpose of this draft regulatory language is to implement, make specific, and clarify SB 1013, Chapter 610, Statutes of 2022.The public workshop will be accessible via Zoom, and via Webcast, and in-person in the Byron Sher Auditorium located on the 2nd floor of the CalRecycle headquarters at 1001 I Street, Sacramento, California. The Byron Sher Auditorium is wheelchair accessible.Please submit comments by 15 November 2024. Visit the Public Notice to view all the details for this scheduled workshop.WTO Members and their stakeholders are asked to submit comments to the USA TBT Enquiry Point. Comments received by the USA TBT Enquiry Point from WTO Members and their stakeholders by 4pmEastern Time on 15 November 2024 will be shared with CalRecycle.</t>
  </si>
  <si>
    <t>Beverage containers; Environmental protection (ICS code(s): 13.020); Recycling (ICS code(s): 13.030.50); Bottles. Pots. Jars (ICS code(s): 55.100); Cans. Tins. Tubes (ICS code(s): 55.120); Plastics (ICS code(s): 83.080)</t>
  </si>
  <si>
    <t>13.020 - Environmental protection; 13.030.50 - Recycling; 55.100 - Bottles. Pots. Jars; 55.120 - Cans. Tins. Tubes; 83.080 - Plastics; 13.020 - Environmental protection; 13.030.50 - Recycling; 55.100 - Bottles. Pots. Jars; 55.120 - Cans. Tins. Tubes; 83.080 - Plastics</t>
  </si>
  <si>
    <t>National Standard of the P.R.C., Requirements of restricting excessive packaging in the express</t>
  </si>
  <si>
    <t xml:space="preserve">This document specifies the general principles, requirements, testing methods, and judgment rules for restricting excessive packaging in express._x000D_
This document applies to non-circular express packages entering the express delivery channel.</t>
  </si>
  <si>
    <t>express packaging items, include courier boxes（cartons, boxes and cases, of corrugated paper or paperboard）, courier bags（sacks and bags of polymers of ethylene, for the conveyance or packing of goods）, express plastic bags and packaging tapes (HS code(s): 300510; 39232; 481910); (ICS code(s): 03.240)</t>
  </si>
  <si>
    <t>481910 - Cartons, boxes and cases, of corrugated paper or paperboard; 39232 - - Sacks and bags (including cones):; 300510 - Adhesive dressings and other articles having an adhesive layer, impregnated or covered with pharmaceutical substances or put up for retail sale for medical, surgical, dental or veterinary purposes</t>
  </si>
  <si>
    <t>03.240 - Postal services</t>
  </si>
  <si>
    <d:r xmlns:d="http://schemas.openxmlformats.org/spreadsheetml/2006/main">
      <d:rPr>
        <d:sz val="11"/>
        <d:rFont val="Calibri"/>
      </d:rPr>
      <d:t xml:space="preserve">https://members.wto.org/crnattachments/2024/TBT/CHN/24_06916_00_x.pdf</d:t>
    </d:r>
  </si>
  <si>
    <t>National Standard of the P.R.C., Safety requirements of packaging machinery</t>
  </si>
  <si>
    <t xml:space="preserve">This document specifies the safety requirements of packaging machinery, including the overall requirements, general requirements, special requirements and responsibilities._x000D_
This document applies to the design and manufacture of packaging machinery and its auxiliary equipment.</t>
  </si>
  <si>
    <t>Packaging machinery and its auxiliary equipment (HS code(s): 8422); (ICS code(s): 55.200)</t>
  </si>
  <si>
    <t>8422 - Dishwashing machines; machinery for cleaning or drying bottles or other containers; machinery for filling, closing, sealing or labelling bottles, cans, boxes, bags or other containers; machinery for capsuling bottles, jars, tubes and similar containers; other packing or wrapping machinery, incl. heat-shrink wrapping machinery; machinery for aerating beverages; parts thereof</t>
  </si>
  <si>
    <t>55.200 - Packaging machinery</t>
  </si>
  <si>
    <d:r xmlns:d="http://schemas.openxmlformats.org/spreadsheetml/2006/main">
      <d:rPr>
        <d:sz val="11"/>
        <d:rFont val="Calibri"/>
      </d:rPr>
      <d:t xml:space="preserve">https://members.wto.org/crnattachments/2024/TBT/CHN/24_06910_00_x.pdf</d:t>
    </d:r>
  </si>
  <si>
    <t>Lithuania</t>
  </si>
  <si>
    <t>Draft Order of the Director of the State Consumer Rights Protection Authority "On Approval of the List of Chemical Substances Permitted to be Used in the Republic of Lithuania to Impart Tobacco Flavor and Odor to Electronic Cigarette Liquid and Refill Cartridges" </t>
  </si>
  <si>
    <t>E-cigarettes</t>
  </si>
  <si>
    <t>240491 - Nicotine containing products intended for the intake of nicotine into the human body, for oral application (excl. for inhalation); 240491 - Nicotine containing products intended for the intake of nicotine into the human body, for oral application (excl. for inhalation)</t>
  </si>
  <si>
    <d:r xmlns:d="http://schemas.openxmlformats.org/spreadsheetml/2006/main">
      <d:rPr>
        <d:sz val="11"/>
        <d:rFont val="Calibri"/>
      </d:rPr>
      <d:t xml:space="preserve">https://members.wto.org/crnattachments/2024/TBT/LTU/final_measure/24_06933_00_x.pdf
https://www.e-tar.lt/portal/lt/legalAct/17ccf1108ab711ef92b19bb92dd76d17</d:t>
    </d:r>
  </si>
  <si>
    <t>DUS 2037:2022, Kombucha — Specification, second edition</t>
  </si>
  <si>
    <t>The aim of this addendum is to inform WTO Members that the Draft Uganda Standard; DUS 2037: 2022, Kombucha — Specification, second edition; notified in G/TBT/N/UGA/1698 was adopted on 6 August 2024. The adopted Uganda Standard, US 2037:2024, Kombucha — Specification, second edition, can be purchased online through the link: https://webstore.unbs.go.ug/</t>
  </si>
  <si>
    <t>- Other (HS code(s): 210690); Beverages (ICS code(s): 67.160)</t>
  </si>
  <si>
    <t>210690 - Food preparations, n.e.s.; 210690 - Food preparations, n.e.s.</t>
  </si>
  <si>
    <t>67.160 - Beverages; 67.160 - Beverages</t>
  </si>
  <si>
    <t>DUS 2671:2023, Post-consumer poly(ethylene terephthalate) (PET) bottle recyclates — Specification, First Edition</t>
  </si>
  <si>
    <t>The aim of this addendum is to inform WTO Members that the Draft Uganda Standard; DUS 2671:2023, Post-consumer poly(ethylene terephthalate) (PET) bottle recyclates — Specification, First Edition; notified in  G/TBT/N/UGA/1779 was adopted on 6 August 2024. The adopted Uganda Standard, US 2671:2024, Post-consumer poly(ethylene terephthalate) (PET) bottle recyclates — Specification, can be purchased online through the link: https://webstore.unbs.go.ug/</t>
  </si>
  <si>
    <t>PLASTICS AND ARTICLES THEREOF (HS code(s): 39); Rubber and plastic industries (ICS code(s): 83)</t>
  </si>
  <si>
    <t>83 - RUBBER AND PLASTIC INDUSTRIES; 83 - Rubber and plastic industries</t>
  </si>
  <si>
    <t xml:space="preserve">Phasedown of Hydrofluorocarbons: Management of Certain 
Hydrofluorocarbons and Substitutes Under the American Innovation and 
Manufacturing Act of 2020</t>
  </si>
  <si>
    <t xml:space="preserve">The U.S. Environmental Protection Agency is issuing regulations to implement certain provisions of the American Innovation and Manufacturing Act of 2020. This rulemaking establishes an emissions reduction and reclamation program for the management of hydrofluorocarbons that includes requirements for leak repair and installation and use of automatic leak detection systems for certain equipment using refrigerants containing hydrofluorocarbons and certain substitutes; the servicing and/or repair of certain refrigerant- containing equipment to be done with reclaimed hydrofluorocarbons; the initial installation and servicing and/or repair of fire suppression equipment to be done with recycled hydrofluorocarbons, technician training, and recycling of hydrofluorocarbons prior to the disposal of fire suppression equipment containing hydrofluorocarbons; removal of hydrofluorocarbons from disposable cylinders before discarding them; and certain recordkeeping, reporting, and labeling requirements. In addition, EPA is establishing alternative Resource Conservation and Recovery Act standards for certain ignitable spent refrigerants being recycled for reuse.This rule is effective 10 December 2024.89 Federal Register (FR) 82682, Title 40 Code of Federal Regulations (CFR) Parts 84261262266270, and 271_x000D_
https://www.govinfo.gov/content/pkg/FR-2024-10-11/html/2024-21967.htm_x000D_
https://www.govinfo.gov/content/pkg/FR-2024-10-11/pdf/2024-21967.pdfThis final rule and the notice of proposed rulemaking notified as G/TBT/N/USA/2059 are identified by Docket Number EPA-HQ-OAR-2022-0606. The Docket Folder is available on Regulations.gov at https://www.regulations.gov/docket/EPA-HQ-OAR-2022-0606/document and provides access to primary and supporting documents as well as comments received. Documents are also accessible from Regulations.gov by searching the Docket Number. </t>
  </si>
  <si>
    <t>Hydrofluorocarbons; Environmental protection (ICS code(s): 13.020); Production in the chemical industry (ICS code(s): 71.020); Products of the chemical industry (ICS code(s): 71.100)</t>
  </si>
  <si>
    <d:r xmlns:d="http://schemas.openxmlformats.org/spreadsheetml/2006/main">
      <d:rPr>
        <d:sz val="11"/>
        <d:rFont val="Calibri"/>
      </d:rPr>
      <d:t xml:space="preserve">https://members.wto.org/crnattachments/2024/TBT/USA/final_measure/24_06920_00_e.pdf</d:t>
    </d:r>
  </si>
  <si>
    <t>National Standard of the P.R.C., Fuel consumption evaluation methods and targets for passenger cars</t>
  </si>
  <si>
    <t>This document specifies the evaluation methods and indicators, conformity of production, same type judgment, and implementation date for fuel consumption of passenger cars and corporate average fuel consumption. The main contents of this revision include: changing the scope; adjusting the method of fuel consumption for vehicle models; adjusting the fuel consumption target; adding the calculation method for the reference value of the average CO2 emissions of corporate, and removing the multiple of vehicle model accounting for corporate average fuel consumption; adjusting the targets of corporate average fuel consumption; adding the calculation method for the corporate average fuel consumption of traditional energy passenger cars.This document applies to M1 vehicles, including vehicles capable of burning gasoline or diesel fuel, battery electric vehicles, fuel cell vehicles, and vehicles burning gas and alcohol-ether fuels.</t>
  </si>
  <si>
    <t>Automobile (HS code(s): 87); (ICS code(s): 43.020)</t>
  </si>
  <si>
    <d:r xmlns:d="http://schemas.openxmlformats.org/spreadsheetml/2006/main">
      <d:rPr>
        <d:sz val="11"/>
        <d:rFont val="Calibri"/>
      </d:rPr>
      <d:t xml:space="preserve">https://members.wto.org/crnattachments/2024/TBT/CHN/24_06898_00_x.pdf</d:t>
    </d:r>
  </si>
  <si>
    <t>DUS 2672: 2023, Disposable bouffant cap — Specification, First Edition</t>
  </si>
  <si>
    <t>The aim of this addendum is to inform WTO Members that the Draft Uganda Standard; DUS 2672: 2023, Disposable bouffant cap — Specification, First Edition; notified in G/TBT/N/UGA/1801 was adopted on 6 August 2024. The adopted Uganda Standard, US 2672:2024, Disposable bouffant cap — Specification, First Edition, can be purchased online through the link: https://webstore.unbs.go.ug/</t>
  </si>
  <si>
    <t>Hats and other headgear, knitted or crocheted, or made up from lace, felt or other textile fabric, in the piece (but not in strips), whether or not lined or trimmed; hair-nets of any material, whether or not lined or trimmed. (HS code(s): 6505); Other protective equipment (ICS code(s): 13.340.99); bouffant cap</t>
  </si>
  <si>
    <t>6505 - Hats and other headgear, knitted or crocheted, or made up from lace, felt or other textile fabric, in the piece (but not in strips), whether or not lined or trimmed; hair-nets of any material, whether or not lined or trimmed.; 6505 - Hats and other headgear, knitted or crocheted, or made up from lace, felt or other textile fabric, in the piece (but not in strips), whether or not lined or trimmed; hair-nets of any material, whether or not lined or trimmed.</t>
  </si>
  <si>
    <t>13.340.99 - Other protective equipment; 13.340.99 - Other protective equipment</t>
  </si>
  <si>
    <t>National Standard of the P.R.C., Cybersecurity technology—Labeling method for content generated by artificial intelligence</t>
  </si>
  <si>
    <t xml:space="preserve">This document specifies the methods for explicit and implicit labeling of artificial intelligence-generated content. _x000D_
This document applies to the labeling activities of generative service providers and content propagation service providers for artificial intelligence-generated content. </t>
  </si>
  <si>
    <t>Content generated by artificial intelligence (HS code(s): 98)；(ICS code(s): 35.030)</t>
  </si>
  <si>
    <t>35.030 - IT Security</t>
  </si>
  <si>
    <d:r xmlns:d="http://schemas.openxmlformats.org/spreadsheetml/2006/main">
      <d:rPr>
        <d:sz val="11"/>
        <d:rFont val="Calibri"/>
      </d:rPr>
      <d:t xml:space="preserve">https://members.wto.org/crnattachments/2024/TBT/CHN/24_06905_00_x.pdf</d:t>
    </d:r>
  </si>
  <si>
    <t>DUS 2658:2022 Gaming equipment — Finite Scratch Ticket and Pull-Tab Systems — requirements, First Edition</t>
  </si>
  <si>
    <t>The aim of this addendum is to inform WTO Members that the Draft Uganda Standard; DUS 2658:2022 Gaming equipment — Finite Scratch Ticket and Pull-Tab Systems — requirements, First Edition; notified in  G/TBT/N/UGA/1821 was adopted on 6 August 2024. The adopted Uganda Standard, US 2658:2024 Gaming equipment — Finite Scratch Ticket and Pull-Tab Systems — requirements, First Edition, can be purchased online through the link: https://webstore.unbs.go.ug/</t>
  </si>
  <si>
    <t>(HS code(s): 950430); Domestic and commercial equipment. Entertainment. Sports (ICS code(s): 97)</t>
  </si>
  <si>
    <t>950430 - Games with screens, flipper and other games, operated by coins, banknotes "paper currency", discs or other similar articles (excl. bowling alley equipment); 950430 - Games with screens, flipper and other games, operated by coins, banknotes "paper currency", discs or other similar articles (excl. bowling alley equipment)</t>
  </si>
  <si>
    <t>97 - DOMESTIC AND COMMERCIAL EQUIPMENT. ENTERTAINMENT. SPORTS; 97 - Domestic and commercial equipment. Entertainment. Sports</t>
  </si>
  <si>
    <t>National security requirements (TBT); Consumer information, labelling (TBT); Prevention of deceptive practices and consumer protection (TBT); Quality requirements (TBT); Reducing trade barriers and facilitating trade (TBT)</t>
  </si>
  <si>
    <t>Ministerial Ordinance for Partial Revision of the Ministerial Ordinance on Compositional Standards, etc. for Feed and Feed Additives (Ordinance of the Ministry of Agriculture, Forestry and Fisheries No. 52 of 3 October 2024)</t>
  </si>
  <si>
    <t>The revision of this Ministerial Ordinance made it possible to use domestic bovine-MBM, etc.(raw materials of these products do not contain dead animals or Specified Risk Material) in the feeding of horses, pigs, chickens and quail. </t>
  </si>
  <si>
    <t>Domestic bovine-MBM, etc. (meat-and-bone meal, hydrolysed protein, steamed bone meal, blood powder and blood plasma protein derived from cattle, sheep and goat)</t>
  </si>
  <si>
    <d:r xmlns:d="http://schemas.openxmlformats.org/spreadsheetml/2006/main">
      <d:rPr>
        <d:sz val="11"/>
        <d:rFont val="Calibri"/>
      </d:rPr>
      <d:t xml:space="preserve">https://members.wto.org/crnattachments/2024/SPS/JPN/24_06896_00_x.pdf</d:t>
    </d:r>
  </si>
  <si>
    <t>DUS 2580:2022 Gaming equipment — On-Line Monitoring and Control Systems (MCS) and Validation Systems — requirements</t>
  </si>
  <si>
    <t>The aim of this addendum is to inform WTO Members that the Draft Uganda Standard; DUS 2580:2022 Gaming equipment — On-Line Monitoring and Control Systems (MCS) and Validation Systems — requirements; notified in  G/TBT/N/UGA/1671 was adopted on 6 August 2024. The adopted Uganda Standard, US 2580:2024 Gaming equipment — On-Line Monitoring and Control Systems (MCS) and Validation Systems — requirements, First edition, can be purchased online through the link: https://webstore.unbs.go.ug/</t>
  </si>
  <si>
    <t>Games with screens, flipper and other games, operated by coins, banknotes, bank cards, tokens or by other means of payment (excl. bowling alley equipment) (HS code(s): 950430); Domestic and commercial equipment. Entertainment. Sports (ICS code(s): 97); Gaming equipment</t>
  </si>
  <si>
    <t>950430 - Games with screens, flipper and other games, operated by coins, banknotes, bank cards, tokens or by other means of payment (excl. bowling alley equipment); 950430 - Games with screens, flipper and other games, operated by coins, banknotes, bank cards, tokens or by other means of payment (excl. bowling alley equipment)</t>
  </si>
  <si>
    <t>National security requirements (TBT); Consumer information, labelling (TBT); Prevention of deceptive practices and consumer protection (TBT); Protection of human health or safety (TBT); Quality requirements (TBT); Reducing trade barriers and facilitating trade (TBT); Other (TBT)</t>
  </si>
  <si>
    <t>Medical Devices; Quality System Regulation Amendments</t>
  </si>
  <si>
    <t xml:space="preserve">The Food and Drug Administration (FDA or Agency) is correcting 
a final rule that appeared in the Federal Register on 2 February 2024 (notified as G/TBT/N/USA/1839/Add.1). 
In that final rule, FDA amended the device current good manufacturing 
practice (CGMP) requirements of the Quality System (QS) regulation to 
harmonize and modernize the device CGMP. FDA is correcting an editorial 
error that inadvertently omitted a definition in the codified of the 
final rule. This action is editorial in nature and is intended to 
ensure the accuracy and clarity of the Agency's regulations.&gt;Effective 2 February 202689 Federal Register (FR) 82945, Title 21 Code of Federal Regulations (CFR) Part 820_x000D_
https://www.govinfo.gov/content/pkg/FR-2024-10-15/html/2024-23701.htm_x000D_
https://www.govinfo.gov/content/pkg/FR-2024-10-15/pdf/2024-23701.pdfThis action and previous actions notified under the symbol G/TBT/N/USA/1839 are identified by Docket Number FDA-2021-N-0507. The Docket Folder is available from Regulations.gov at https://www.regulations.gov/docket/FDA-2021-N-0507/document and provides access to primary and supporting documents as well as comments received. Documents are also accessible from Regulations.gov by searching the Docket Number._x000D_
</t>
  </si>
  <si>
    <t>03.120 - Quality; 03.120 - Quality; 03.120 - Quality; 11.040 - Medical equipment; 11.040 - Medical equipment; 11.040 - Medical equipment</t>
  </si>
  <si>
    <t>Protection of human health or safety (TBT); Quality requirements (TBT); Harmonization (TBT); Reducing trade barriers and facilitating trade (TBT)</t>
  </si>
  <si>
    <t>Human health; Human health; Human health</t>
  </si>
  <si>
    <d:r xmlns:d="http://schemas.openxmlformats.org/spreadsheetml/2006/main">
      <d:rPr>
        <d:sz val="11"/>
        <d:rFont val="Calibri"/>
      </d:rPr>
      <d:t xml:space="preserve">https://members.wto.org/crnattachments/2024/TBT/USA/24_06918_00_e.pdf</d:t>
    </d:r>
  </si>
  <si>
    <t>National Standard of the P.R.C., Fireproof coatings for concrete structure</t>
  </si>
  <si>
    <t xml:space="preserve">This document specifies the terms and definitions, product classification, general requirements, performance requirements, test methods, inspection rules and marking, packaging, transportation and storage of fireproof coatings for concrete structure._x000D_
This document applies to fireproof coatings on the  concrete surface of highways, railroads, urban transportation tunnels and fire embankment in petrochemical storage tank area and other industrial and civil buildings (structures).</t>
  </si>
  <si>
    <t>Fireproof coatings for concrete structure (HS code(s): 3816); (ICS code(s): 13.220.50)</t>
  </si>
  <si>
    <t>13.220.50 - Fire-resistance of building materials and elements</t>
  </si>
  <si>
    <d:r xmlns:d="http://schemas.openxmlformats.org/spreadsheetml/2006/main">
      <d:rPr>
        <d:sz val="11"/>
        <d:rFont val="Calibri"/>
      </d:rPr>
      <d:t xml:space="preserve">https://members.wto.org/crnattachments/2024/TBT/CHN/24_06908_00_x.pdf</d:t>
    </d:r>
  </si>
  <si>
    <t>Provisions for Cosmetics Safety Risks Monitoring (Draft)</t>
  </si>
  <si>
    <t>The document is to strengthen safety risks monitoring for cosmetics, promote the development of cosmetics industry and safeguard the consumers’ health.</t>
  </si>
  <si>
    <t>cosmetics (HS code(s): 33); (ICS code(s): 71.100.70)</t>
  </si>
  <si>
    <d:r xmlns:d="http://schemas.openxmlformats.org/spreadsheetml/2006/main">
      <d:rPr>
        <d:sz val="11"/>
        <d:rFont val="Calibri"/>
      </d:rPr>
      <d:t xml:space="preserve">https://members.wto.org/crnattachments/2024/TBT/CHN/24_06915_00_x.pdf</d:t>
    </d:r>
  </si>
  <si>
    <t>Effective 1 October 2024, California Department of Toxic Substance Control (DTSC) finalized a regulation pursuant to the Safer Consumer Products regulations to list Laundry Detergents Containing Nonylphenol Ethoxylates (NPEs) as a Priority Product. DTSC has determined that aquatic organisms can be exposed to NPEs and their degradation products from laundry detergents and this exposure may cause or contribute to significant adverse impacts to aquatic organisms, as described in the Product-Chemical Profile for Laundry Detergents Containing NPEs</t>
  </si>
  <si>
    <d:r xmlns:d="http://schemas.openxmlformats.org/spreadsheetml/2006/main">
      <d:rPr>
        <d:sz val="11"/>
        <d:rFont val="Calibri"/>
      </d:rPr>
      <d:t xml:space="preserve">https://members.wto.org/crnattachments/2024/TBT/USA/final_measure/24_06924_00_e.pdf
https://members.wto.org/crnattachments/2024/TBT/USA/final_measure/24_06924_01_e.pdf
https://dtsc.ca.gov/scp/nonylphenol-ethoxylates-npes-in-laundry-detergents/</d:t>
    </d:r>
  </si>
  <si>
    <t>Melon fruit from Japan: biosecurity import requirements draft report</t>
  </si>
  <si>
    <t>The draft report proposes that the importation of commercially produced fresh melon (Cucumis melo) fruit, except oriental melon (C. melo var. makuwa) and oriental pickling melon (C. melo var. utilissimus), to Australia from all commercial production areas of Japan be permitted, subject to a range of biosecurity requirements.The draft report contains details of pests that are of biosecurity concern to Australia that are potentially associated with the importation of commercially produced fresh melon fruit from Japan, the risk assessments for the identified pests, and the proposed risk management measures to reduce biosecurity risks to an acceptable level.</t>
  </si>
  <si>
    <t>Fresh melon fruit</t>
  </si>
  <si>
    <t>080719 - Fresh melons (excl. watermelons)</t>
  </si>
  <si>
    <d:r xmlns:d="http://schemas.openxmlformats.org/spreadsheetml/2006/main">
      <d:rPr>
        <d:sz val="11"/>
        <d:rFont val="Calibri"/>
      </d:rPr>
      <d:t xml:space="preserve">https://www.agriculture.gov.au/biosecurity-trade/policy/risk-analysis/plant/melons-from-japan</d:t>
    </d:r>
  </si>
  <si>
    <t>The Oregon Department of Environmental Quality is bringing temporary rules to the November  Environmental Quality Commission meeting to adopt California’s expected minor amendments to its Advanced Clean Trucks regulation. Oregon’s Advanced Clean Truck Rule was adopted in 2021 and is one of the 13 states that has opted in to California’s vehicle and truck emission standards.Changes include adjustments to requirements for truck manufacturers, such as extending the deficit makeup period. Additionally, it makes clear compliance determination and sales reporting rules, which are defined when vehicles are produced and delivered for sale in the state. DEQ is seeking temporary rules to ensure these compliance updates are available for 2025 model year implementation.Also at the November Commission meeting, DEQ plans to bring temporary rules that will pause the start of the Heavy-Duty Low NOx Omnibus Rule, until 2026. The agency understands there is a continued shortage of new engines that qualify under the stricter oxides of nitrogen emissions standard due to product availability and manufacturer decisions to limit supply of diesel trucks.Any temporary rules the commission adopts will take effect on 1 January 2025, while DEQ begins a permanent rulemaking process. The agency will host a public forum soon to discuss the expected rule changes.For more information about Oregon’s Advanced Clean Truck Rule or the Heavy-Duty Low NOx Omnibus Rule, please visit Oregon’s New Rules for Medium- and Heavy-Duty Vehicles and Engines Frequently Asked Questions page and Clean Vehicles web page.</t>
  </si>
  <si>
    <t>DUS 2657: 2022 Gaming equipment — Electronic Raffle Systems — requirements, First Edition</t>
  </si>
  <si>
    <t>The aim of this addendum is to inform WTO Members that the Draft Uganda Standard; DUS 2657: 2022 Gaming equipment — Electronic Raffle Systems — requirements, First Edition; notified in G/TBT/N/UGA/1830 was adopted on 6 August 2024. The adopted Uganda Standard, US 2657:2024 Gaming equipment — Electronic Raffle Systems — requirements, First Edition, can be purchased online through the link: https://webstore.unbs.go.ug/</t>
  </si>
  <si>
    <t>Games with screens, flipper and other games, operated by coins, banknotes "paper currency", discs or other similar articles (excl. bowling alley equipment) (HS code(s): 950430); (ICS code(s): 97); Gaming equipment</t>
  </si>
  <si>
    <t>Consumer information, labelling (TBT); Prevention of deceptive practices and consumer protection (TBT); Quality requirements (TBT); Reducing trade barriers and facilitating trade (TBT); Cost saving and productivity enhancement (TBT); Other (TBT)</t>
  </si>
  <si>
    <t>DUS 775-1:2023, Retro-reflective registration plates for motor vehicles — Specification — Part 1: Blanks (metal), Second edition </t>
  </si>
  <si>
    <t>The aim of this addendum is to inform WTO Members that the Draft Uganda Standard; DUS 775-1:2023, Retro-reflective registration plates for motor vehicles — Specification — Part 1: Blanks (metal), Second edition ; notified in  G/TBT/N/UGA/1851 was adopted on 6 August 2024. The adopted Uganda Standard, US 775-1:2024, Retro-reflective registration plates for motor vehicles — Specification — Part 1: Blanks (metal), Second edition , can be purchased online through the link: https://webstore.unbs.go.ug/</t>
  </si>
  <si>
    <t>Sign-plates, name-plates, address-plates and similar plates, numbers, letters and other symbols, of base metal, excluding those of heading 94.05. (HS code(s): 8310); Lighting, signalling and warning devices (ICS code(s): 43.040.20); motor vehicles registration plates</t>
  </si>
  <si>
    <t>8310 - Sign-plates, name-plates, address-plates and similar plates, numbers, letters and other symbols, of base metal, excluding those of heading 94.05.; 8310 - Sign-plates, name-plates, address-plates and similar plates, numbers, letters and other symbols, of base metal, excluding those of heading 94.05.</t>
  </si>
  <si>
    <t>43.040.20 - Lighting, signalling and warning devices; 43.040.20 - Lighting, signalling and warning devices</t>
  </si>
  <si>
    <t>National security requirements (TBT); Consumer information, labelling (TBT); Prevention of deceptive practices and consumer protection (TBT); Quality requirements (TBT); Harmonization (TBT)</t>
  </si>
  <si>
    <t>National Standard of the P.R.C., Auto tracking and targeting jet suppression system</t>
  </si>
  <si>
    <t xml:space="preserve">This document specifies the definition of auto tracking and targeting jet suppression systems, specifies the classification and model, performance requirements, inspection rules, markings, packaging, storage, transportation, and user manual of the system, and describes the testing methods of the system. _x000D_
This document applies to various indoor and outdoor fixed jet fire extinguishing systems.</t>
  </si>
  <si>
    <t>Auto tracking and targeting jet suppression system (HS code(s): 848190); (ICS code(s): 13.220.10)</t>
  </si>
  <si>
    <d:r xmlns:d="http://schemas.openxmlformats.org/spreadsheetml/2006/main">
      <d:rPr>
        <d:sz val="11"/>
        <d:rFont val="Calibri"/>
      </d:rPr>
      <d:t xml:space="preserve">https://members.wto.org/crnattachments/2024/TBT/CHN/24_06906_00_x.pdf</d:t>
    </d:r>
  </si>
  <si>
    <t>National Standard of the P.R.C., Safety specification for dust explosion prevention in feed processing system</t>
  </si>
  <si>
    <t>This document specifies the classification and scope of dust explosion hazard sites for feed processing systems, the overall requirements, the requirements for construction (structure) structures, the requirements for process systems and equipment, the requirements for electrical requirements, the requirements for dust removal and pneumatic conveying systems, the requirements for explosion control measures, and the requirements for operational safety management for dust explosion protection safety, and describes the verification methods thereof.This document applies to the design, construction, operation and safety management of feed processing systems involving combustible dust explosion hazards.</t>
  </si>
  <si>
    <t>Feed processing system involved in bucket elevator, screw conveyor, scraper conveyor, warehouse machine, magnetic separation equipment, shredder, batching scale, mixer, buffer bucket, dust removal and pneumatic conveying system (HS code(s): 842139; 842330; 842390; 842542; 842832; 842890; 843710; 843780); (ICS code(s): 13.230)</t>
  </si>
  <si>
    <t>842832 - Continuous-action elevators and conveyors for goods or materials, bucket type (excl. for underground use); 842542 - Jacks and hoists, hydraulic (excl. built-in jacking systems used in garages); 842890 - Machinery for lifting, handling, loading or unloading, n.e.s.; 843710 - Machines for cleaning, sorting or grading seed, grain or dried leguminous vegetables; 843780 - Machinery used in the milling industry or for the working of cereals or dried leguminous vegetables (excl. farm-type machinery, heat treatment equipment, centrifugal dryers, air filters and machines for cleaning, sorting or grading seed, grain or dried leguminous vegetables); 842330 - Constant weight scales and scales for discharging a pre-determined weight of material into a bag or container, incl. hopper scales (excl. scales for continuous weighing of goods on conveyors); 842390 - Weighing machine weights of all kinds; parts of weighing machinery, n.e.s.; 842139 - Machinery and apparatus for filtering or purifying gases (excl. isotope separators and intake air filters for internal combustion engines, and catalytic converters and particulate filters for purifying or filtering exhaust gases from internal combustion engines)</t>
  </si>
  <si>
    <t>13.230 - Explosion protection</t>
  </si>
  <si>
    <d:r xmlns:d="http://schemas.openxmlformats.org/spreadsheetml/2006/main">
      <d:rPr>
        <d:sz val="11"/>
        <d:rFont val="Calibri"/>
      </d:rPr>
      <d:t xml:space="preserve">https://members.wto.org/crnattachments/2024/TBT/CHN/24_06902_00_x.pdf</d:t>
    </d:r>
  </si>
  <si>
    <t>National Standard of the P.R.C., Minimum allowable values of energy efficiency and energy efficiency grades for domestic solar water heating systems</t>
  </si>
  <si>
    <t xml:space="preserve">This document specifies the minimum allowable values of energy efficiency, energy efficiency grades and test methods for domestic solar water heating systems._x000D_
This document applies to solar water heating systems with heat storage tanks with  volume of less than 0.6m3.</t>
  </si>
  <si>
    <t>Close-coupled collector storage domestic solar water heating system, remote direct storage domestic solar water heating system, remote indirect storage domestic solar water heating system, integral collector storage domestic solar water heating system, domestic solar water heating system for space heating, etc. (HS code(s): 841919); (ICS code(s): 27.010)</t>
  </si>
  <si>
    <t>841919 - Instantaneous or storage water heaters, non-electric (excl. instantaneous gas water heaters, solar water heaters and boilers or water heaters for central heating)</t>
  </si>
  <si>
    <d:r xmlns:d="http://schemas.openxmlformats.org/spreadsheetml/2006/main">
      <d:rPr>
        <d:sz val="11"/>
        <d:rFont val="Calibri"/>
      </d:rPr>
      <d:t xml:space="preserve">https://members.wto.org/crnattachments/2024/TBT/CHN/24_06912_00_x.pdf</d:t>
    </d:r>
  </si>
  <si>
    <t xml:space="preserve">New Source Performance Standards Review for Volatile Organic 
Liquid Storage Vessels (Including Petroleum Liquid Storage Vessels)</t>
  </si>
  <si>
    <t xml:space="preserve">The Environmental Protection Agency (EPA) is finalizing 
amendments to the new source performance standards (NSPS) for Volatile 
Organic Liquid Storage Vessels (Including Petroleum Liquid Storage 
Vessels) pursuant to the review required by the Clean Air Act (CAA). 
The EPA is finalizing revisions to the NSPS that are applicable to 
volatile organic liquid (VOL) storage vessels that commence 
construction, reconstruction, or modification after 4 October 2023, 
under a new NSPS subpart, as well as amendments to an existing subpart. 
In the new NSPS subpart Kc, the EPA is finalizing requirements to 
reduce the vapor pressure applicability thresholds and revise the 
volatile organic compound (VOC) standards to reflect the best system of 
emission reduction (BSER) for affected storage vessels. In addition, 
the EPA is finalizing degassing emission controls; clarification of 
startup, shutdown, and malfunction (SSM) requirements; additional 
monitoring requirements; and other technical improvements&gt;This final rule is effective on 15 October 2024. The 
incorporation by reference of certain publications listed in the rule 
is approved by the Director of the Federal Register as of 15 October 
2024.89 Federal Register (FR) 83296, Title 40 Code of Federal Regulations (CFR) Part 60_x000D_
https://www.govinfo.gov/content/pkg/FR-2024-10-15/html/2024-22823.htm_x000D_
https://www.govinfo.gov/content/pkg/FR-2024-10-15/pdf/2024-22823.pdfThis final rule and previous actions notified under the symbol G/TBT/N/USA/2055 are identified by Docket Number EPA-HQ-OAR-2023-0358. The Docket Folder is available on Regulations.gov at https://www.regulations.gov/docket/EPA-HQ-OAR-2023-0358/document and provides access to primary and supporting documents as well as comments received. Documents are also accessible from Regulations.gov by searching the Docket Number. </t>
  </si>
  <si>
    <t>Volatile organic liquid storage vessels; Environmental protection (ICS code(s): 13.020); Fluid storage devices (ICS code(s): 23.020)</t>
  </si>
  <si>
    <t>13.020 - Environmental protection; 23.020 - Fluid storage devices; 13.020 - Environmental protection; 23.020 - Fluid storage devices</t>
  </si>
  <si>
    <d:r xmlns:d="http://schemas.openxmlformats.org/spreadsheetml/2006/main">
      <d:rPr>
        <d:sz val="11"/>
        <d:rFont val="Calibri"/>
      </d:rPr>
      <d:t xml:space="preserve">https://members.wto.org/crnattachments/2024/TBT/USA/final_measure/24_06919_00_e.pdf</d:t>
    </d:r>
  </si>
  <si>
    <t>DUS 2274, Integral waterproofing compounds for cement mortar and concrete — specification, First edition</t>
  </si>
  <si>
    <t>The aim of this addendum is to inform WTO Members that the Draft Uganda Standard; DUS 2274, Integral waterproofing compounds for cement mortar and concrete — specification, First edition; notified in  G/TBT/N/UGA/1814 was adopted on 6 August 2024. The adopted Uganda Standard, US 2274:2024, Integral waterproofing compounds for cement mortar and concrete — specification, can be purchased online through the link: https://webstore.unbs.go.ug/</t>
  </si>
  <si>
    <t>Prepared additives for cements, mortars or concretes (HS code(s): 382440); Waterproofing (ICS code(s): 91.120.30); waterproofing compounds</t>
  </si>
  <si>
    <t>382440 - Prepared additives for cements, mortars or concretes; 382440 - Prepared additives for cements, mortars or concretes</t>
  </si>
  <si>
    <t>91.120.30 - Waterproofing; 91.120.30 - Waterproofing</t>
  </si>
  <si>
    <t xml:space="preserve">Protection of Stratospheric Ozone: Updates Related to the Use of 
Ozone-Depleting Substances as Process Agents</t>
  </si>
  <si>
    <t xml:space="preserve">This action establishes recordkeeping and reporting requirements for uses of ozone-depleting substances as process agents and updates related definitions. Codified recordkeeping and reporting requirements will provide clear notice of information the U.S. Environmental Protection Agency collects, aggregates, and reports each year on behalf of the United States as a party to the Montreal Protocol on Substances that Deplete the Ozone Layer; effectively monitor these narrow uses in a more routine and consistent manner under the Clean Air Act (CAA); and enhance understanding of emissions of substances harmful to the stratospheric ozone layer.This final rule is effective on 12 November 2024. The incorporation by reference (IBR) of certain publications listed in the rule is approved by the Director of the Federal Register as of 12 November 2024.89 Federal Register (FR) 82414, 10 October 2024; Title 40 Code of Federal Regulations (CFR) Part 82_x000D_
https://www.govinfo.gov/content/pkg/FR-2024-10-10/html/2024-22380.htm_x000D_
https://www.govinfo.gov/content/pkg/FR-2024-10-10/pdf/2024-22380.pdfThis final rule and the proposed rule notified as G/TBT/N/USA/2060 is identified by Docket Number EPA-HQ-OAR-2022-0707. The Docket Folder is available on Regulations.gov at https://www.regulations.gov/docket/EPA-HQ-OAR-2022-0707/document and provides access to primary and supporting documents as well as comments received. Documents are also accessible from Regulations.gov by searching the Docket Number. </t>
  </si>
  <si>
    <t>Ozone-depleting substances as process agents; Environmental protection (ICS code(s): 13.020); Production in the chemical industry (ICS code(s): 71.020); Products of the chemical industry (ICS code(s): 71.100)</t>
  </si>
  <si>
    <d:r xmlns:d="http://schemas.openxmlformats.org/spreadsheetml/2006/main">
      <d:rPr>
        <d:sz val="11"/>
        <d:rFont val="Calibri"/>
      </d:rPr>
      <d:t xml:space="preserve">https://members.wto.org/crnattachments/2024/TBT/USA/final_measure/24_06921_00_e.pdf</d:t>
    </d:r>
  </si>
  <si>
    <t>National Standard of the P.R.C., Limited values of water efficiency and water efficiency grades for water closets</t>
  </si>
  <si>
    <t xml:space="preserve">This document specifies the water efficiency limit value and grades, technical requirements, test methods and test devices for the water closets._x000D_
This document applies to the water efficiency evaluation of water closets installed on cold water pipelines in building facilities, with water supply pressure not exceeding 0.6MPa, using water as the main flushing medium and with water sealing function.</t>
  </si>
  <si>
    <t>Water closets (HS code(s): 691010); (ICS code(s): 91.140.70)</t>
  </si>
  <si>
    <t>91.140.70 - Sanitary installations</t>
  </si>
  <si>
    <d:r xmlns:d="http://schemas.openxmlformats.org/spreadsheetml/2006/main">
      <d:rPr>
        <d:sz val="11"/>
        <d:rFont val="Calibri"/>
      </d:rPr>
      <d:t xml:space="preserve">https://members.wto.org/crnattachments/2024/TBT/CHN/24_06909_00_x.pdf</d:t>
    </d:r>
  </si>
  <si>
    <t>National Standard of the P.R.C., Safety specification for the protection of dust explosion for grain processing, storage and transportation system</t>
  </si>
  <si>
    <t xml:space="preserve">This document specifies the division and scope of dust explosion hazard places in grain processing, storage and transportation systems, equipment requirements, electrical requirements, building and structural requirements, dust control requirements, dust cleaning requirements, pneumatic conveying system requirements, explosion-control measures, operational safety management requirements for dust explosion prevention and safety, and describes the verification methods thereof._x000D_
This document applies to the whole process of design, construction, operation and management of places where explosive hazards of grain dust occur or may occur during grain handling, transportation, drying, storage and processing.</t>
  </si>
  <si>
    <t>Grain processing, storage and transportation system involved in bucket elevator, screw conveyor, scraper conveyor, roller belt conveyor, air cushion belt conveyor, measuring equipment, cleaning equipment, screening equipment, processing equipment, grain dryer, dust removal and pneumatic conveying system (HS code(s): 84193; 842139; 842240; 842542; 842832; 842839; 8437; 847410); (ICS code(s): 13.230)</t>
  </si>
  <si>
    <t>842832 - Continuous-action elevators and conveyors for goods or materials, bucket type (excl. for underground use); 842542 - Jacks and hoists, hydraulic (excl. built-in jacking systems used in garages); 842839 - Continuous-action elevators and conveyors, for goods or materials (excl. those for underground use and bucket, belt or pneumatic types); 842240 - Packing or wrapping machinery, incl. heat-shrink wrapping machinery (excl. machinery for filling, closing, sealing or labelling bottles, cans, boxes, bags or other containers and machinery for capsuling bottles, jars, tubes and similar containers); 847410 - Sorting, screening, separating or washing machines for solid mineral substances, incl. those in powder or paste form (excl. centrifuges and filter presses); 84193 - - Dryers:; 842139 - Machinery and apparatus for filtering or purifying gases (excl. isotope separators and intake air filters for internal combustion engines, and catalytic converters and particulate filters for purifying or filtering exhaust gases from internal combustion engines); 8437 - Machines for cleaning, sorting or grading seed, grain or dried leguminous vegetables; machinery used in the milling industry or for the working of cereals or dried leguminous vegetables (excl. farm-type machinery, heat treatment equipment, centrifugal dryers and air filters); parts thereof</t>
  </si>
  <si>
    <d:r xmlns:d="http://schemas.openxmlformats.org/spreadsheetml/2006/main">
      <d:rPr>
        <d:sz val="11"/>
        <d:rFont val="Calibri"/>
      </d:rPr>
      <d:t xml:space="preserve">https://members.wto.org/crnattachments/2024/TBT/CHN/24_06901_00_x.pdf</d:t>
    </d:r>
  </si>
  <si>
    <t>National Standard of the P.R.C., Safety technical specification for electric bicycle</t>
  </si>
  <si>
    <t xml:space="preserve">This document specifies the technical requirements and testing methods for electric bicycles, including vehicle markings, vehicle safety, mechanical safety, electrical safety, fire and flame retardant, proportion of plastic parts, Beidou positioning function, communication function, safety monitoring function, tamper resistance, specification, enterprise quality assurance capability, and product consistency._x000D_
This document applies to electric bicycles.</t>
  </si>
  <si>
    <t>electric bicycle (HS code(s): 871160); (ICS code(s): 43.140)</t>
  </si>
  <si>
    <t>871160 - Motorcycles, incl. mopeds, and cycles fitted with an auxiliary motor, with electric motor for propulsion</t>
  </si>
  <si>
    <t>43.140 - Motorcycles and mopeds</t>
  </si>
  <si>
    <d:r xmlns:d="http://schemas.openxmlformats.org/spreadsheetml/2006/main">
      <d:rPr>
        <d:sz val="11"/>
        <d:rFont val="Calibri"/>
      </d:rPr>
      <d:t xml:space="preserve">https://members.wto.org/crnattachments/2024/TBT/CHN/24_06904_00_x.pdf</d:t>
    </d:r>
  </si>
  <si>
    <t>DUS 2659:2022 Gaming equipment — kiosks — requirements, First Edition</t>
  </si>
  <si>
    <t>The aim of this addendum is to inform WTO Members that the Draft Uganda Standard; DUS 2659:2022 Gaming equipment — kiosks — requirements, First Edition; notified in  G/TBT/N/UGA/1820 was adopted on 6 August 2024. The adopted Uganda Standard, US 2659:2024 Gaming equipment — kiosks — requirements, First Edition, can be purchased online through the link: https://webstore.unbs.go.ug/</t>
  </si>
  <si>
    <t>(HS code(s): 950430); Domestic and commercial equipment. Entertainment. Sports (ICS code(s): 97); Gaming equipment; Kiosks</t>
  </si>
  <si>
    <t>Draft Commission Implementing Decision on the harmonised use of radio spectrum in the 5945-6425 MHz frequency band for the implementation of wireless access systems including radio local area networks (WAS/RLANs)</t>
  </si>
  <si>
    <t>Table 2 of the Annex to Decision (EU) 2021/1067 sets, for Very Low Power (VLP) WAS/RLANs, the limit of maximum mean equivalent isotropically radiated power (e.i.r.p.) density for out-of-band (OOB) emissions below 5 935 MHz at - 45 dBm/MHz until 31 December 2024. Moreover, Note 3 of that Table provides that the appropriateness of that limit should be subject to review by 31 December 2024, and that in the absence of justified evidence, a less stringent limit value of - 37 dBm/MHz would apply from 1 January 2025.The aim of the amending Decision is to ensure legal certainty for transport safety and the coexistence of VLP WAS/RLANs with urban rail intelligent transport systems (ITS), including communication based train control (CBTC), which use spectrum in parts of the 5905-5935 MHz frequency band. It is necessary to proceed with this amendment, because the European Conference of Postal and Telecommunications Administrations (CEPT) was not able to deliver on the mandate to review by July 2024 the limit of OOB emissions below 5 935 MHz applicable to VLP WAS/RLAN devices using the 5 945-6 425 MHz band. Therefore, as regards that limit, the draft Decision amending Decision (EU) 2021/1067 will ensure that the current value of - 45 dBm/MHz continues to apply beyond 31 December 2024. The change of the date of application of this limit is the only change introduced by the amending Decision. There is no change of the substance of Decision (EU) 2021/1067.</t>
  </si>
  <si>
    <t>Radio equipment for wireless access systems including radio local area networks (WAS/RLANs)</t>
  </si>
  <si>
    <t>33.040.01 - Telecommunication systems in general; 33.040.01 - Telecommunication systems in general</t>
  </si>
  <si>
    <d:r xmlns:d="http://schemas.openxmlformats.org/spreadsheetml/2006/main">
      <d:rPr>
        <d:sz val="11"/>
        <d:rFont val="Calibri"/>
      </d:rPr>
      <d:t xml:space="preserve">https://members.wto.org/crnattachments/2024/TBT/EEC/final_measure/24_06917_00_e.pdf
https://members.wto.org/crnattachments/2024/TBT/EEC/modification/24_06917_01_e.pdf
https://members.wto.org/crnattachments/2024/TBT/EEC/modification/24_06917_02_e.pdf
Implementing decision - 2021/1067 - EN - EUR-Lex (europa.eu)
Commission Implementing Decision (EU) 2021/1067 on the harmonised use of radio spectrum in the 5 945-6 425 MHz frequency band for the implementation of wireless access systems including radio local area networks (WAS/RLANs)
Published in the Official Journal of the EU L 232
 30.6.2021
 p. 1–5 (BG
 ES
 CS
 DA
 DE
 ET
 EL
 EN
 FR
 HR
 IT
 LV
 LT
 HU
 MT
 NL
 PL
 PT
 RO
 SK
 SL
 FI
 SV)
The text is also available on the EU-TBT website: http://ec.europa.eu/growth/tools-databases/tbt/en/
Draft Commission Implementing Decision amending Implementing Decision (EU) 2021/1067 on the harmonised use of radio spectrum in the 5 945-6 425 MHz frequency band for the implementation of wireless access systems including radio local area networks (WAS/RLANs)
</d:t>
    </d:r>
  </si>
  <si>
    <t>National Standard of the P.R.C.,Tri-wheel vehicles —Safety technical specification</t>
  </si>
  <si>
    <t xml:space="preserve">This document specifies the safety requirements, information for use, and verification of safety requirements for tri-wheel vehicles._x000D_
This document applies to the design, construction, inspection and testing for tri-wheel vehicles.</t>
  </si>
  <si>
    <t>Tri-wheel vehicles (HS code(s): 843680); (ICS code(s): 65.060.01)</t>
  </si>
  <si>
    <d:r xmlns:d="http://schemas.openxmlformats.org/spreadsheetml/2006/main">
      <d:rPr>
        <d:sz val="11"/>
        <d:rFont val="Calibri"/>
      </d:rPr>
      <d:t xml:space="preserve">https://members.wto.org/crnattachments/2024/TBT/CHN/24_06911_00_x.pdf</d:t>
    </d:r>
  </si>
  <si>
    <t>National Standard of the P.R.C., Minimum allowable values of energy efficiency and energy efficiency grades of LED luminaires for road and tunnel lighting</t>
  </si>
  <si>
    <t xml:space="preserve">This document specifies the energy efficiency grades, energy efficiency limits, and testing methods for LED luminaires for road and tunnel lighting. _x000D_
This document applies to LED luminaires for road and tunnel lighting with rated voltage not exceeding 1000V (including LED light source and its control device, excluding independently installed interconnected control components or other functional accessories that are not related to lighting).</t>
  </si>
  <si>
    <t>LED luminaires for road and tunnel lighting (HS code(s): 94054); (ICS code(s): 27.010)</t>
  </si>
  <si>
    <t>94054 - - Other electric luminaires and lighting fittings :</t>
  </si>
  <si>
    <d:r xmlns:d="http://schemas.openxmlformats.org/spreadsheetml/2006/main">
      <d:rPr>
        <d:sz val="11"/>
        <d:rFont val="Calibri"/>
      </d:rPr>
      <d:t xml:space="preserve">https://members.wto.org/crnattachments/2024/TBT/CHN/24_06913_00_x.pdf</d:t>
    </d:r>
  </si>
  <si>
    <t>DUS 2668: 2023, Plastic composite roofing tiles and ridges — specification, First edition</t>
  </si>
  <si>
    <t>The aim of this addendum is to inform WTO Members that the Draft Uganda Standard; DUS 2668: 2023, Plastic composite roofing tiles and ridges — specification, First edition; notified in G/TBT/N/UGA/1813 was adopted on 6 August 2024. The adopted Uganda Standard, US 2668:2024, Plastic composite roofing tiles and ridges — specification, can be purchased online through the link: https://webstore.unbs.go.ug/</t>
  </si>
  <si>
    <t>Roofing tiles (HS code(s): 690510); Construction materials and building (ICS code(s): 91); Plastic composite roofing tiles </t>
  </si>
  <si>
    <t>690510 - Roofing tiles; 690510 - Roofing tiles</t>
  </si>
  <si>
    <t>91 - CONSTRUCTION MATERIALS AND BUILDING; 91 - Construction materials and building</t>
  </si>
  <si>
    <t>National Standard of the P.R.C., Safety specification for dust explosion protection in bulk grain loading and unloading system in port</t>
  </si>
  <si>
    <t>This document specifies the general requirements, construction requirements, hot operation requirements, loading and unloading machinery and conveying equipment requirements, weighing system requirements, dust removal system requirements for dust explosion-proof safety in port bulk grain handling system, and describes the verification methods thereof.This document applies to the design, construction, operation and safety management of dust explosion prevention in port bulk grain handling system.</t>
  </si>
  <si>
    <t>Port bulk grain loading and unloading system relates to the belt unloader, screw unloader, chain conveyor unloader, wave guard belt unloader, pneumatic ship unloader, bucket elevator, belt clip elevator, buried scraper conveyor, roller belt conveyor, air cushion belt conveyor, fully sealed multi-point discharge belt conveyor, plow discharge belt conveyor, clearance machine, weighing system and dust systems (HS code(s): 842139; 842389; 842542; 842619; 8428); (ICS code(s): 13.230)</t>
  </si>
  <si>
    <t>842619 - Overhead travelling cranes, transporter cranes, gantry cranes, bridge cranes and mobile lifting frames (excl. overhead travelling cranes on fixed support, mobile lifting frames on tyres, straddle carriers and portal or pedestal jib cranes); 842542 - Jacks and hoists, hydraulic (excl. built-in jacking systems used in garages); 8428 - Lifting, handling, loading or unloading machinery, e.g. lifts, escalators, conveyors, teleferics (excl. pulley tackle and hoists, winches and capstans, jacks, cranes of all kinds, mobile lifting frames and straddle carriers, works trucks fitted with a crane, fork-lift trucks and other works trucks fitted with lifting or handling equipment); 842389 - Weighing machinery of a maximum weighing capacity &gt; 5.000 kg; 842139 - Machinery and apparatus for filtering or purifying gases (excl. isotope separators and intake air filters for internal combustion engines, and catalytic converters and particulate filters for purifying or filtering exhaust gases from internal combustion engines)</t>
  </si>
  <si>
    <d:r xmlns:d="http://schemas.openxmlformats.org/spreadsheetml/2006/main">
      <d:rPr>
        <d:sz val="11"/>
        <d:rFont val="Calibri"/>
      </d:rPr>
      <d:t xml:space="preserve">https://members.wto.org/crnattachments/2024/TBT/CHN/24_06903_00_x.pdf</d:t>
    </d:r>
  </si>
  <si>
    <t>DUS 2610: 2022, Gaming equipment — Bonusing Systems — requirements, First Edition</t>
  </si>
  <si>
    <t>The aim of this addendum is to inform WTO Members that the Draft Uganda Standard; DUS 2610:2022, Gaming equipment — Bonusing Systems — requirements, First Edition; notified in  G/TBT/N/UGA/1730 was adopted on 6 August 2024. The adopted Uganda Standard, US 2610:2024, Gaming equipment — Bonusing Systems — requirements, First Edition, can be purchased online through the link: https://webstore.unbs.go.ug/</t>
  </si>
  <si>
    <t>Games with screens, flipper and other games, operated by coins, banknotes, bank cards, tokens or by other means of payment (excl. bowling alley equipment) (HS code(s): 950430); Equipment for entertainment in general (ICS code(s): 97.200.01)</t>
  </si>
  <si>
    <t>97.200.01 - Equipment for entertainment in general; 97.200.01 - Equipment for entertainment in general</t>
  </si>
  <si>
    <t>Prevention of deceptive practices and consumer protection (TBT); Other (TBT)</t>
  </si>
  <si>
    <t>National Standard of the P.R.C., Energy consumption limits for electric vehicles—Part 1: Passenger cars</t>
  </si>
  <si>
    <t xml:space="preserve">This document specifies the limits for energy consumption, application and determination of type approval, conformity of production, same type judgment for battery electric passenger cars. The main contents of this revision include: adding application and determination of type approval, changing the energy consumption limits, adding conformity of production, adding criteria for same type judgment, adding energy consumption type approval report and type approval application report._x000D_
This document applies to M1 category battery electric vehicles with a maximum design total mass not exceeding 3500 kg.</t>
  </si>
  <si>
    <t>M1 category battery electric vehicles with a maximum design total mass not exceeding 3500 kg (HS code(s): 87); (ICS code(s): 43.020)</t>
  </si>
  <si>
    <d:r xmlns:d="http://schemas.openxmlformats.org/spreadsheetml/2006/main">
      <d:rPr>
        <d:sz val="11"/>
        <d:rFont val="Calibri"/>
      </d:rPr>
      <d:t xml:space="preserve">https://members.wto.org/crnattachments/2024/TBT/CHN/24_06899_00_x.pdf</d:t>
    </d:r>
  </si>
  <si>
    <t>National Standard of the P.R.C., Safety specification for gas of industrial enterprises</t>
  </si>
  <si>
    <t xml:space="preserve">This document specifies the safety management and technical requirements for the design, manufacturing, construction, operation, management and maintenance of gas facilities in the factory area of industrial enterprises, including generating furnace, water gas furnace, semi-water gas furnace, upright continuous carbonizing furnace, blast furnace, converter, coke oven, ferroalloy furnace, etc._x000D_
This document applies to the gas facilities in the industrial enterprise factory area, not to the urban gas main pipe, branch pipe and courtyard pipe network and pressure regulating facilities.</t>
  </si>
  <si>
    <t>gas pipelines, combustion device, drain, compensator, gas generator, pressure machine, electric tar trap, washing tower, electrostatic precipitator, bag filter, blast furnace gas residual pressure turbine power generation device, blast furnace waste heat residual pressure energy recovery gas turbine and blower coaxial unit, charcoal furnace, extraction fan, gas sampling device, gas tank, carbon monoxide detection alarm device and other equipment or facilities involved in the process of production, use, inspection and maintenance of gas in industrial enterprises (HS code(s): 391739; 730799; 8405; 841480; 841610; 842139; 847989; 848180; 853110); (ICS code(s): 13.100)</t>
  </si>
  <si>
    <t>391739 - Flexible tubes, pipes and hoses, of plastics, reinforced or otherwise combined with other materials (excl. those with a burst pressure of &gt;= 27,6 MPa); 841610 - Furnace burners for liquid fuel; 848180 - Appliances for pipes, boiler shells, tanks, vats or the like (excl. pressure-reducing valves, valves for the control of pneumatic power transmission, check "non-return" valves and safety or relief valves); 730799 - Tube or pipe fittings, of iron or steel (excl. cast iron or stainless steel products; flanges; threaded elbows, bends and sleeves; butt welding fittings); 841480 - Air pumps, air or other gas compressors and ventilating or recycling hoods incorporating a fan, whether or not fitted with filters, having a maximum horizontal side &gt; 120 cm (excl. vacuum pumps, hand- or foot-operated air pumps, compressors for refrigerating equipment and air compressors mounted on a wheeled chassis for towing); 8405 - Producer gas or water gas generators, with or without their purifiers; acetylene gas generators and similar water process gas generators, with or without their purifiers; parts thereof (excl. coke ovens, electrolytic process gas generators and carbide lamps); 842139 - Machinery and apparatus for filtering or purifying gases (excl. isotope separators and intake air filters for internal combustion engines, and catalytic converters and particulate filters for purifying or filtering exhaust gases from internal combustion engines); 847989 - Machines and mechanical appliances, n.e.s.; 853110 - Burglar or fire alarms and similar apparatus</t>
  </si>
  <si>
    <d:r xmlns:d="http://schemas.openxmlformats.org/spreadsheetml/2006/main">
      <d:rPr>
        <d:sz val="11"/>
        <d:rFont val="Calibri"/>
      </d:rPr>
      <d:t xml:space="preserve">https://members.wto.org/crnattachments/2024/TBT/CHN/24_06914_00_x.pdf</d:t>
    </d:r>
  </si>
  <si>
    <t>DUS 775-2:2023, Retro-reflective registration plates for motor vehicles — Specification — Part 2: Registration plates, Second Edition</t>
  </si>
  <si>
    <t>The aim of this addendum is to inform WTO Members that the Draft Uganda Standard; DUS 775-2:2023, Retro-reflective registration plates for motor vehicles — Specification — Part 2: Registration plates, Second Edition; notified in G/TBT/N/UGA/1852 was adopted on 6 August 2024. The adopted Uganda Standard, US 775-2:2024, Retro-reflective registration plates for motor vehicles — Specification — Part 2: Registration plates, Second Edition, can be purchased online through the link: https://webstore.unbs.go.ug/</t>
  </si>
  <si>
    <t>DUS 47: 2022, Carbonated and non-carbonated soft drinks — Specification, Fourth edition</t>
  </si>
  <si>
    <t>The aim of this addendum is to inform WTO Members that the Draft Uganda Standard; DUS 47: 2022, Carbonated and non-carbonated soft drinks — Specification, Fourth edition; notified in G/TBT/N/UGA/1716 was adopted on 6 August 2024. The adopted Uganda Standard, US 47:2024, Carbonated and non-carbonated soft drinks — Specification, Fourth edition, can be purchased online through the link: https://webstore.unbs.go.ug/</t>
  </si>
  <si>
    <t>National Standard of the P.R.C., Protective clothing—Protective clothing against particles</t>
  </si>
  <si>
    <t xml:space="preserve">This document specifies the technical requirements, test methods, markings and the information to be provided by the manufacturers for protective clothing against particles._x000D_
This document applies to protective clothing against particles that reduce the hazardous of particulate matter (such as harmful particles and particulate that absorbs other harmful substances) to the wearer.</t>
  </si>
  <si>
    <t>Protective clothing against particles (HS code(s): 621010); (ICS code(s): 13.340.10)</t>
  </si>
  <si>
    <t>621010 - Garments made up of felt or nonwovens, whether or not impregnated, coated, covered or laminated (excl. babies' garments and clothing accessories)</t>
  </si>
  <si>
    <t>13.340.10 - Protective clothing</t>
  </si>
  <si>
    <d:r xmlns:d="http://schemas.openxmlformats.org/spreadsheetml/2006/main">
      <d:rPr>
        <d:sz val="11"/>
        <d:rFont val="Calibri"/>
      </d:rPr>
      <d:t xml:space="preserve">https://members.wto.org/crnattachments/2024/TBT/CHN/24_06900_00_x.pdf</d:t>
    </d:r>
  </si>
  <si>
    <t>California's Department of Resources Recycling and Recovery (CalRecycle) has begun a 15-day written comment period for the proposed revisions to the SB 54 Plastic Pollution Prevention and Packaging Producer Responsibility Act Permanent Rulemaking. This 15-day written comment period follows an initial 61-day public comment period that began on 8 March 2024, and ended on 8 May 2024. On 23 April 2024, CalRecycle held a hybrid public hearing to receive public comments.CalRecycle will only consider written comments sent to CalRecycle and received during the 15-day written comment period which began on 14 October 2024, and ends on 29 October 2024. Written comments received by CalRecycle after the close of the public comment period are considered untimely. CalRecycle may, but is not required to, respond to untimely comments.Please refer to the Notice of 15-Day Changes to Proposed Rulemaking (Notice) and the revised regulation text and the rulemaking webpage  SB 54 Plastic Pollution Prevention and Packaging Producer Responsibility Act Permanent Regulations for more information, including how to submit comments. WTO Members and their stakeholders are asked to submit comments to the USA TBT Enquiry Point. Comments received by the USA TBT Enquiry Point from WTO Members and their stakeholders by 4pmEastern Time on 29 October 2024 will be shared with CalRecycle.</t>
  </si>
  <si>
    <d:r xmlns:d="http://schemas.openxmlformats.org/spreadsheetml/2006/main">
      <d:rPr>
        <d:sz val="11"/>
        <d:rFont val="Calibri"/>
      </d:rPr>
      <d:t xml:space="preserve">https://members.wto.org/crnattachments/2024/TBT/USA/modification/24_06922_00_e.pdf</d:t>
    </d:r>
  </si>
  <si>
    <t>National Standard of the P.R.C.,  Fireproof coating for electric cable</t>
  </si>
  <si>
    <t xml:space="preserve">This document specifies the terminology and definitions, classification and models, technical requirements, test methods, inspection rules, markings, user manuals, packaging, transportation, and storage of fireproof coatings for electric cable._x000D_
This document applies to various types of fireproof coating for electric cable.</t>
  </si>
  <si>
    <t>Fireproof coating for electric cable (HS code(s): 3816); (ICS code(s): 13.220.50)</t>
  </si>
  <si>
    <d:r xmlns:d="http://schemas.openxmlformats.org/spreadsheetml/2006/main">
      <d:rPr>
        <d:sz val="11"/>
        <d:rFont val="Calibri"/>
      </d:rPr>
      <d:t xml:space="preserve">https://members.wto.org/crnattachments/2024/TBT/CHN/24_06907_00_x.pdf</d:t>
    </d:r>
  </si>
  <si>
    <t>Gaming equipment — Progressive Gaming Devices — requirements, First Edition.</t>
  </si>
  <si>
    <t>The aim of this addendum is to inform WTO Members that the Draft Uganda Standard; Gaming equipment — Progressive Gaming Devices — requirements, First Edition; notified in  G/TBT/N/UGA/1822 was adopted on 6 August 2024. The adopted Uganda Standard, US 2660:2024, Gaming equipment — Progressive Gaming Devices — requirements, First Edition can be purchased online through the link: https://webstore.unbs.go.ug/</t>
  </si>
  <si>
    <t>(HS code(s): 950430); Domestic and commercial equipment. Entertainment. Sports (ICS code(s): 97); Progressive Gaming Devices</t>
  </si>
  <si>
    <t>Letter of the Federal Service for Veterinary and Phytosanitary Surveillance No. FS-ARe-7/6162-3 of 23 September 2024</t>
  </si>
  <si>
    <t>The Federal Service for Veterinary and Phytosanitary Surveillance introduced a temporary restriction on imports of live animals susceptible to lumpy skin disease, products and raw hides derived from such animals, as well as used equipment for maintenance and transportation of these animals from Hong Kong, China to the territory of the Russian Federation, and the transit of cattle and animals susceptible to lumpy skin disease through the Russian territory due to the outbreak of lumpy skin disease in Hong Kong, China.</t>
  </si>
  <si>
    <t>Live animals susceptible to lumpy skin disease, products not subject to processing that ensures the destruction of the LSD virus and raw hides derived from such animals, as well as used equipment for maintenance and transportation of these animals (HS code(s): 0102; 0106; 0511)</t>
  </si>
  <si>
    <t>0102 - Live bovine animals; 0106 - Live animals (excl. horses, asses, mules, hinnies, bovine animals, swine, sheep, goats, poultry, fish, crustaceans, molluscs and other aquatic invertebrates, and microorganic cultures etc.); 0511 - Animal products n.e.s.; dead animals of all types, unfit for human consumption</t>
  </si>
  <si>
    <d:r xmlns:d="http://schemas.openxmlformats.org/spreadsheetml/2006/main">
      <d:rPr>
        <d:sz val="11"/>
        <d:rFont val="Calibri"/>
      </d:rPr>
      <d:t xml:space="preserve">https://members.wto.org/crnattachments/2024/SPS/RUS/24_06886_00_x.pdf
https://fsvps.gov.ru/files/ukazanie-rosselhoznadzora-ot-23-sentjabrja-2024-goda-fs-arje-7-6162-3/</d:t>
    </d:r>
  </si>
  <si>
    <t>Draft amendment of Technical standards for radio equipment for simple radio stations, space stations, earth stations, radio wave detection and other radio equipment</t>
  </si>
  <si>
    <t>Specifies technical requirements for radio equipment of earth stations communicating with low-orbit satellites operating in the 11 GHz to 14 GHz frequency bands</t>
  </si>
  <si>
    <t>Radio equipment of earth station that communicates with low-orbit satellites</t>
  </si>
  <si>
    <t>33.060.30 - Radio relay and fixed satellite communications systems</t>
  </si>
  <si>
    <d:r xmlns:d="http://schemas.openxmlformats.org/spreadsheetml/2006/main">
      <d:rPr>
        <d:sz val="11"/>
        <d:rFont val="Calibri"/>
      </d:rPr>
      <d:t xml:space="preserve">https://members.wto.org/crnattachments/2024/TBT/KOR/24_06879_00_x.pdf</d:t>
    </d:r>
  </si>
  <si>
    <t>Exempt Resolution No. 6.567/2024: Establece condiciones sanitarias generales para la importación a Chile de productos pecuarios y animales vivos y deroga Resolución Exenta No 1.150 del 2000 (General sanitary conditions for the importation into Chile of livestock products and live animals, and repeal of Exempt Resolution No. 1.150 of 2000) Chile hereby advises that Exempt Resolution No. 6567 of 2024, establishing general sanitary conditions for the importation into Chile of livestock products and live animals, and repealing Exempt Resolution No. 1.150 of 2000, was published in the Official Journal on 9 October 2024 and will enter into force three months after that date. https://members.wto.org/crnattachments/2024/SPS/CHL/24_06948_00_s.pdf</t>
  </si>
  <si>
    <t>Productos pecuarios y animales vivos</t>
  </si>
  <si>
    <t>Adoption/publication/entry into force of reg.; Animal health; Animal diseases; Animal health; Animal diseases</t>
  </si>
  <si>
    <d:r xmlns:d="http://schemas.openxmlformats.org/spreadsheetml/2006/main">
      <d:rPr>
        <d:sz val="11"/>
        <d:rFont val="Calibri"/>
      </d:rPr>
      <d:t xml:space="preserve">https://members.wto.org/crnattachments/2024/SPS/CHL/24_06948_00_s.pdf</d:t>
    </d:r>
  </si>
  <si>
    <t>Maximum residue levels for fosetyl, potassium phosphonates and disodium phosphonate in or on certain products</t>
  </si>
  <si>
    <t>The proposal notified in G/SPS/N/EU/698 (24 November 2023) is now adopted by Commission Regulation (EU) 2024/2619 of 8 October 2024 amending Annexes II and III to Regulation (EC) No 396/2005 of the European Parliament and of the Council as regards maximum residue levels for fosetyl, potassium phosphonates and disodium phosphonate in or on certain products (Text with EEA relevance).Some changes were made to correct clerical mistakes to the MRLs for durians and parsnips, as the LOQ for durians was incorrect (2* mg/kg instead of 1.5* mg/kg) and the MRL value proposed by EFSA for parsnips (6 mg/kg) which was missing.The Regulation shall apply from 29 April 2025.</t>
  </si>
  <si>
    <t>0201 - Meat of bovine animals, fresh or chilled; 1006 - Rice; 1005 - Maize or corn; 1004 - Oats; 1003 - Barley; 1002 - Rye; 1001 - Wheat and meslin; 0210 - Meat and edible offal, salted, in brine, dried or smoked; edible flours and meals of meat or meat offal;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1007 - Grain sorghum; 1008 - Buckwheat, millet, canary seed and other cereals (excl. wheat and meslin, rye, barley, oats, maize, rice and grain sorghum); 0202 - Meat of bovine animals, frozen; 1007 - Grain sorghum; 1006 - Rice; 1005 - Maize or corn; 1004 - Oats; 1003 - Barley; 1002 - Rye; 1001 - Wheat and meslin; 0209 - Pig fat, free of lean meat, and poultry fat, not rendered or otherwise extracted, fresh, chilled, frozen, salted, in brine, dried or smoked; 0201 - Meat of bovine animals, fresh or chilled;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0210 - Meat and edible offal, salted, in brine, dried or smoked; edible flours and meals of meat or meat offal; 1008 - Buckwheat, millet, canary seed and other cereals (excl. wheat and meslin, rye, barley, oats, maize, rice and grain sorghum)</t>
  </si>
  <si>
    <d:r xmlns:d="http://schemas.openxmlformats.org/spreadsheetml/2006/main">
      <d:rPr>
        <d:sz val="11"/>
        <d:rFont val="Calibri"/>
      </d:rPr>
      <d:t xml:space="preserve">https://members.wto.org/crnattachments/2024/SPS/EEC/24_06895_00_e.pdf
https://members.wto.org/crnattachments/2024/SPS/EEC/24_06895_00_f.pdf
https://members.wto.org/crnattachments/2024/SPS/EEC/24_06895_00_s.pdf</d:t>
    </d:r>
  </si>
  <si>
    <t>Aprueba anteproyecto de modificación del Decreto Supremo N° 39, de 2020, del Ministerio del Medio Ambiente, que "establece norma de emisión para maquinaria fuera de ruta (Approval of proposed draft amendments to Supreme Decree No. 39 of 2020 of the Ministry of the Environment establishing an emission standard for non-road machinery) (4 pages, in Spanish)</t>
  </si>
  <si>
    <t>Please be advised that the proposed draft amendments to Article 2 and Article 3 of the Emission Standard for Non-Road Machinery, contained in Supreme Decree No. 39 of 2020 of the Ministry of the Environment, are available for consultation. Whereas Supreme Decree No. 39/2020 of the Ministry of the Environment provides that the emission limits for tractors will enter into force on 21 October 2024, these amendments extend that date to 1 January 2030 and also clarify that agricultural machinery other than tractors is not affected by the Standard.</t>
  </si>
  <si>
    <d:r xmlns:d="http://schemas.openxmlformats.org/spreadsheetml/2006/main">
      <d:rPr>
        <d:sz val="11"/>
        <d:rFont val="Calibri"/>
      </d:rPr>
      <d:t xml:space="preserve">https://members.wto.org/crnattachments/2024/TBT/CHL/24_06878_00_s.pdf
https://planesynormas.mma.gob.cl/normas/expediente/index.php?tipo=busqueda&amp;id_expediente=944900</d:t>
    </d:r>
  </si>
  <si>
    <t>Use of sorbic acid (E 200) and potassium sorbate (E 202) and the Annex to Commission Regulation (EU) No 231/2012 as regards the specifications for sorbic acid (E 200), potassium sorbate (E 202) and propyl gallate (E 310)</t>
  </si>
  <si>
    <t>The proposal notified in G/SPS/N/EU/773 (20 June 2024) is now adopted by Commission Regulation (EU) 2024/2597 of 4 October 2024 amending Annex II to Regulation (EC) No 1333/2008 of the European Parliament and of the Council as regards the use of sorbic acid (E 200) and potassium sorbate (E 202) and the Annex to Commission Regulation (EU) No 231/2012 as regards the specifications for sorbic acid (E 200), potassium sorbate (E 202) and propyl gallate (E 310) (Text with EEA relevance).This Regulation shall enter into force on the twentieth day following that of its publication in the Official Journal of the European Union. Points (1)(b), (2)(b) and (3) of Annex II shall apply from 27 April 2025.</t>
  </si>
  <si>
    <d:r xmlns:d="http://schemas.openxmlformats.org/spreadsheetml/2006/main">
      <d:rPr>
        <d:sz val="11"/>
        <d:rFont val="Calibri"/>
      </d:rPr>
      <d:t xml:space="preserve">https://members.wto.org/crnattachments/2024/SPS/EEC/24_06872_00_e.pdf
https://members.wto.org/crnattachments/2024/SPS/EEC/24_06872_00_f.pdf
https://members.wto.org/crnattachments/2024/SPS/EEC/24_06872_00_s.pdf</d:t>
    </d:r>
  </si>
  <si>
    <t>Czech Republic</t>
  </si>
  <si>
    <t>Draft Measure of a General Nature number: 0111-OOP-C022-24, laying down the metrological and technical requirements for specified instruments, including test methods for type-approval, verification and testing of specified measuring instruments: 'electricity meters'</t>
  </si>
  <si>
    <t>MEASURE OF A GENERAL NATURE number: 0111-OOP-C022-24 laying down the metrological and technical requirements for specified instruments, including test methods for type-approval, verification and checking of specified measuring instruments: ‘electricity meters’, was adopted, published on 28 August 2024 and came into force on 12 September 2024. </t>
  </si>
  <si>
    <t>In the Czech Republic, electricity meters are measuring instruments that are subject to type approval and verification.</t>
  </si>
  <si>
    <t>17 - METROLOGY AND MEASUREMENT. PHYSICAL PHENOMENA; 17.220.20 - Measurement of electrical and magnetic quantities; 17.220.20 - Measurement of electrical and magnetic quantities; 17 - Metrology and measurement. Physical phenomena</t>
  </si>
  <si>
    <d:r xmlns:d="http://schemas.openxmlformats.org/spreadsheetml/2006/main">
      <d:rPr>
        <d:sz val="11"/>
        <d:rFont val="Calibri"/>
      </d:rPr>
      <d:t xml:space="preserve">https://members.wto.org/crnattachments/2024/TBT/CZE/final_measure/24_06873_00_x.pdf
https://members.wto.org/crnattachments/2024/TBT/CZE/final_measure/24_06873_01_x.pdf
https://technical-regulation-information-system.ec.europa.eu/en/notification/25857
https://technical-regulation-information-system.ec.europa.eu/en/notification/25857/text/F/EN
https://technical-regulation-information-system.ec.europa.eu/en/notification/25857/text/F/CS</d:t>
    </d:r>
  </si>
  <si>
    <t>Belgium</t>
  </si>
  <si>
    <t>Ministerial Decree amending the Ministerial Decree of 16 April 2019 on the conditions of neutrality and standardisation of packaging units and outer packaging for cigarettes, roll-your-own tobacco and water pipe tobacco</t>
  </si>
  <si>
    <t>The Ministerial Decree of 16 April 2019 is amended to extend the standardised packet to all tobacco products, herbal smoking products and devices, as well as all papers, filters and tubes.The proposal for standardised packaging for these products is aimed primarily at protecting children and those who do not yet use these products and are therefore sensitive to brand elements or characteristics.It also implements sheet 6.3 of the Interfederal Strategy for a Smoke-Free Generation, 2022-2028.The WHO Framework Convention on Tobacco Control (FCTC) was ratified by Belgium in November 2005 and came into force on 31 January 2006. Article 11 of the FCTC lays down strict rules for the labelling of tobacco packages. The guidelines devoted to this article specifically recommend the implementation of standardised packaging: ‘The Parties should consider adopting measures to limit or prohibit the use of logos, colours, brand images or promotional texts on packaging other than the brand name and product name printed in normal font and in a standardised colour (plain packaging). This could give greater prominence and effectiveness to health warnings and messages, preventing the form of packaging from diverting consumers‘ attention and countering the design techniques used by the tobacco industry to try to make people believe that some products are less harmful than others’.The guidelines also state: ‘Parties should ensure that the packaging and labelling provisions of Article 11 of the Convention apply equally to all tobacco products sold in places under their jurisdiction and that no distinction is made between locally produced, imported or duty-free products [...]’.The guidelines for Article 13 state: ‘Packaging and product design are important elements of advertising and promotion. Parties should consider adopting requirements for plain packaging to eliminate the effect of advertising or promotion on packaging. Packaging, individual cigarettes or other tobacco products should be free from advertising or promotion and from design features that make the products attractive’.Finally, the implementation of the standardised pack for all tobacco products is one of the WHO's ‘best buys’ in terms of non-communicable diseases.Directive 2014/40/EU of 3 April 2014 on the approximation of the laws, regulations and administrative provisions of the Member States concerning the manufacture, presentation and sale of tobacco products and related products, and repealing Directive 2001/37/EC (hereinafter ‘Directive 2014/40/EU’) does not impose the standardised packet but authorises Member States that so wish to impose it on their territory (Article 24.2).The introduction of the plain packet aims to :- reduce the attractiveness of packaging and brand image; - improve the effectiveness of textual or visual health warnings on tobacco product packs;- reduce consumer misinformation about the dangers of tobacco.Studies show that the introduction of the plain packet has proved its worth and achieved the above objectives.  Some studies also show that the plain packet has increased smoking cessation behaviour among smokers and that it could contribute to the denormalization of tobacco. The rules relating to the standardisation of packaging units and outer packaging already apply in Belgium to cigarettes, rolling tobacco, water pipe tobacco and papers and filters that owe their reputation mainly to a tobacco product. The aim of the project is to extend the standardised pack to other tobacco products, herbal smoking products, appliances and all papers, filters and tubes. As a result, all products that fall within the scope of the Royal Decree of XX on the manufacture and marketing of tobacco products and herbal smoking products will also fall within the scope of the standardised packet. These are two complementary measures.The aim is to harmonise the rules for these products. This is important to prevent manufacturers from using other tobacco products and herbal smoking products to promote their brand and weaken standardised packaging. An example of this type of practice is the introduction of cigarillo's (e.g. Marlboro and Lucky strike) whose packaging unit resembles an ‘old’ cigarette pack. It has been shown that tobacco manufacturers are taking advantage of the fact that plain packaging does not apply to cigars, cigarillos and pipe tobacco.Another objective of this draft decree is to reduce the attractiveness of these products to young people. In terms of behavioural change, some studies suggest that plain packaging may help to dissuade young people from starting or continuing to smoke and to make them more aware of the dangers of smoking. The plain packet has also been found to reduce the attractiveness of cannabis (plant-based smoking products) to young consumers.    The aim is therefore to counter the tobacco industry's marketing strategies, which are well known for targeting teenagers and young adults, as attracting the next ‘generation’ of smokers is essential to the industry's survival.The plain pack is particularly useful in markets such as Belgium, where tobacco advertising is banned. Tobacco research has shown that the importance of packaging increases when other forms of advertising are restricted.The following countries have also extended the standardised pack rules to other products:- Canada,- New Zealand- Australia,- Turkey,- Netherlands,- Ireland,- Finland,- Denmark. France intends to do so.</t>
  </si>
  <si>
    <t>Tobacco products and herbal smoking products</t>
  </si>
  <si>
    <d:r xmlns:d="http://schemas.openxmlformats.org/spreadsheetml/2006/main">
      <d:rPr>
        <d:sz val="11"/>
        <d:rFont val="Calibri"/>
      </d:rPr>
      <d:t xml:space="preserve">https://members.wto.org/crnattachments/2024/TBT/BEL/24_06876_00_f.pdf
https://members.wto.org/crnattachments/2024/TBT/BEL/24_06876_00_x.pdf</d:t>
    </d:r>
  </si>
  <si>
    <t>Maximum residue levels for 1,4-dimethylnaphthalene, difluoroacetic acid (DFA), fluopyram and flupyradifurone in or on certain products</t>
  </si>
  <si>
    <t>The proposal notified in G/SPS/N/EU/701 (12 December 2023) is now adopted by Commission Regulation (EU) 2024/2640 of 9 October 2024 amending and correcting Annex II to Regulation (EC) No 396/2005 of the European Parliament and of the Council as regards maximum residue levels for 1,4-dimethylnaphthalene, difluoroacetic acid (DFA), fluopyram and flupyradifurone in or on certain products (Text with EEA relevance).The Regulation shall apply from 30 April 2025.</t>
  </si>
  <si>
    <t>Adoption/publication/entry into force of reg.; Human health; Food safety; Pesticides; Maximum residue limits (MRLs); Maximum residue limits (MRLs); Food safety; Human health</t>
  </si>
  <si>
    <d:r xmlns:d="http://schemas.openxmlformats.org/spreadsheetml/2006/main">
      <d:rPr>
        <d:sz val="11"/>
        <d:rFont val="Calibri"/>
      </d:rPr>
      <d:t xml:space="preserve">https://members.wto.org/crnattachments/2024/SPS/EEC/24_06871_00_e.pdf
https://members.wto.org/crnattachments/2024/SPS/EEC/24_06871_00_f.pdf
https://members.wto.org/crnattachments/2024/SPS/EEC/24_06871_00_s.pdf</d:t>
    </d:r>
  </si>
  <si>
    <t>Draft Resolution 1.287, 11 October 2024</t>
  </si>
  <si>
    <t>This draft resolution proposes the change of the following ingredients on the Monograph List of Active Ingredients for Pesticides, Household Cleaning Products and Wood Preservatives, which was published by Normative Instruction 103 on 19 October 2021 in the Brazilian Official Gazette (DOU - Diário Oficial da União): A02 - ACEPHATE, A11 - AMETHRINE, A12 - ASULAM, A26 - AZOXYSTROBIN, A67 - AFIDOPYROPENE, B54 - BIXAFEM, C10 - CYPERMETHRIN, C18 - CHLOROTHALONIL, C20 - CHLORPYRIPHOS, C35 - CLOMAZONE, C63 - LAMBDA-CYALOTHRINE, C66 - CYAZOFAMIDE, C74 - CYANTRANILIPROLE, D39 - DIMETOMORPH, F43 - FIPRONIL, F46 - FLUMIOXAZINE, I21 - INDOXACARB, M32 - METOXYFENOZIDE, M55 - METARYLPICOXAMIDE, or P23 - PROPAMOCARB (CHLORHYDRATE), P50 - PICOXISTROBIN, and P69 - PINOXADEM.</t>
  </si>
  <si>
    <d:r xmlns:d="http://schemas.openxmlformats.org/spreadsheetml/2006/main">
      <d:rPr>
        <d:sz val="11"/>
        <d:rFont val="Calibri"/>
      </d:rPr>
      <d:t xml:space="preserve">https://members.wto.org/crnattachments/2024/SPS/BRA/24_06877_00_x.pdf
Draft: https://antigo.anvisa.gov.br/documents/10181/6890158/CONSULTA+P%C3%9ABLICA+N%C2%BA+1287+GGTOX.pdf/52c88941-ce3b-4e65-8ba6-cbe5b98dbfe6
Comment form:  http://pesquisa.anvisa.gov.br/index.php/616742?lang=pt-BR</d:t>
    </d:r>
  </si>
  <si>
    <t>Royal Decree amending the Royal Decree of 13 April 2019 on the standardised packet of cigarettes, rolling tobacco and water pipe tobacco </t>
  </si>
  <si>
    <t>The Royal Decree of 13 April 2019 is amended to extend the standardised packet to all tobacco products, herbal smoking products and devices, as well as all papers, filters and tubes.The proposal for standardised packaging for these products is aimed primarily at protecting children and those who do not yet use these products and are therefore sensitive to brand elements or characteristics.It also implements sheet 6.3 of the Interfederal Strategy for a Smoke-Free Generation, 2022-2028.The WHO Framework Convention on Tobacco Control (FCTC) was ratified by Belgium in November 2005 and came into force on 31 January 2006. Article 11 of the FCTC lays down strict rules for the labelling of tobacco packages. The guidelines devoted to this article specifically recommend the implementation of standardised packaging: ‘The Parties should consider adopting measures to limit or prohibit the use of logos, colours, brand images or promotional texts on packaging other than the brand name and product name printed in normal font and in a standardised colour (plain packaging). This could give greater prominence and effectiveness to health warnings and messages, preventing the form of packaging from diverting consumers‘ attention and countering the design techniques used by the tobacco industry to try to make people believe that some products are less harmful than others’.The guidelines also state: ‘Parties should ensure that the packaging and labelling provisions of Article 11 of the Convention apply equally to all tobacco products sold in places under their jurisdiction and that no distinction is made between locally produced, imported or duty-free products [...]’.The guidelines for Article 13 state: ‘Packaging and product design are important elements of advertising and promotion. Parties should consider adopting requirements for plain packaging to eliminate the effect of advertising or promotion on packaging. Packaging, individual cigarettes or other tobacco products should be free from advertising or promotion and from design features that make the products attractive’.Finally, the implementation of the standardised pack for all tobacco products is one of the WHO's ‘best buys’ in terms of non-communicable diseases.Directive 2014/40/EU of 3 April 2014 on the approximation of the laws, regulations and administrative provisions of the Member States concerning the manufacture, presentation and sale of tobacco products and related products, and repealing Directive 2001/37/EC (hereinafter ‘Directive 2014/40/EU’) does not impose the standardised packet but authorises Member States that so wish to impose it on their territory (Article 24.2).The introduction of the plain packet aims to :- reduce the attractiveness of packaging and brand image; - improve the effectiveness of textual or visual health warnings on tobacco product packs;- reduce consumer misinformation about the dangers of tobacco.Studies show that the introduction of the plain packet has proved its worth and achieved the above objectives.  Some studies also show that the plain packet has increased smoking cessation behaviour among smokers and that it could contribute to the denormalization of tobacco. The rules relating to the standardisation of packaging units and outer packaging already apply in Belgium to cigarettes, rolling tobacco, water pipe tobacco and papers and filters that owe their reputation mainly to a tobacco product. The aim of the project is to extend the standardised pack to other tobacco products, herbal smoking products, appliances and all papers, filters and tubes. As a result, all products that fall within the scope of the Royal Decree of XX on the manufacture and marketing of tobacco products and herbal smoking products will also fall within the scope of the standardised packet. These are two complementary measures.The aim is to harmonise the rules for these products. This is important to prevent manufacturers from using other tobacco products and herbal smoking products to promote their brand and weaken standardised packaging. An example of this type of practice is the introduction of cigarillo's (e.g. Marlboro and Lucky strike) whose packaging unit resembles an ‘old’ cigarette pack. It has been shown that tobacco manufacturers are taking advantage of the fact that plain packaging does not apply to cigars, cigarillos and pipe tobacco.Another objective of this draft decree is to reduce the attractiveness of these products to young people. In terms of behavioural change, some studies suggest that plain packaging may help to dissuade young people from starting or continuing to smoke and to make them more aware of the dangers of smoking. The plain packet has also been found to reduce the attractiveness of cannabis (plant-based smoking products) to young consumers.    The aim is therefore to counter the tobacco industry's marketing strategies, which are well known for targeting teenagers and young adults, as attracting the next ‘generation’ of smokers is essential to the industry's survival.The plain pack is particularly useful in markets such as Belgium, where tobacco advertising is banned. Tobacco research has shown that the importance of packaging increases when other forms of advertising are restricted.The following countries have also extended the standardised pack rules to other products:- Canada,- New Zealand- Australia,- Turkey,- Netherlands,- Ireland,- Finland,- Denmark. France intends to do so.</t>
  </si>
  <si>
    <d:r xmlns:d="http://schemas.openxmlformats.org/spreadsheetml/2006/main">
      <d:rPr>
        <d:sz val="11"/>
        <d:rFont val="Calibri"/>
      </d:rPr>
      <d:t xml:space="preserve">https://members.wto.org/crnattachments/2024/TBT/BEL/24_06875_00_f.pdf
https://members.wto.org/crnattachments/2024/TBT/BEL/24_06875_00_x.pdf</d:t>
    </d:r>
  </si>
  <si>
    <t>Partial amendment to the Minimum Requirements for Radiopharmaceuticals</t>
  </si>
  <si>
    <t>The Minimum Requirements for Radiopharmaceuticals are to be partially amended to add the standards for a radiopharmaceutical to be newly approved.</t>
  </si>
  <si>
    <t>Pharmaceutical Products (HS: 30)</t>
  </si>
  <si>
    <d:r xmlns:d="http://schemas.openxmlformats.org/spreadsheetml/2006/main">
      <d:rPr>
        <d:sz val="11"/>
        <d:rFont val="Calibri"/>
      </d:rPr>
      <d:t xml:space="preserve">https://members.wto.org/crnattachments/2024/TBT/JPN/24_06874_00_e.pdf</d:t>
    </d:r>
  </si>
  <si>
    <t>The Ministry of Public Health Notification, B.E, entitled "The Labelling of Pre-packaged foods.”</t>
  </si>
  <si>
    <t>The Draft Ministry of Public Health Notification entitled "The Labelling of Pre-packaged foods", previously notified in G/TBT/N/THA/679 dated 17 October 2022, was published in the Royal Gazette dated 18 July 2024 as Notification of the Ministry of Public Health No. 450.The information of “Date of entry into force” of the notification G/TBT/N/THA/679/Add.1 dated 25 July 2024, should be corrected to read as follows: Date of entry into force: 19 July 2024 (This notification shall come into force after the day following date of its publication in the Royal Gazette.)</t>
  </si>
  <si>
    <t>Pre packaged foods (ICS 67.230).</t>
  </si>
  <si>
    <t>67.230 - Prepackaged and prepared foods; 67.230 - Prepackaged and prepared foods; 67.230 - Prepackaged and prepared foods</t>
  </si>
  <si>
    <d:r xmlns:d="http://schemas.openxmlformats.org/spreadsheetml/2006/main">
      <d:rPr>
        <d:sz val="11"/>
        <d:rFont val="Calibri"/>
      </d:rPr>
      <d:t xml:space="preserve">https://members.wto.org/crnattachments/2024/TBT/THA/24_06820_00_x.pdf</d:t>
    </d:r>
  </si>
  <si>
    <t>Draft Resolution number 760, December 27th, 2019. </t>
  </si>
  <si>
    <t>Resolution 742, 10 August 2022 - previously notified through G/TBT/N/BRA/955/Add.1 - which establishes the minimal technical requirements for relative bioavailability and bioequivalence studies that supports dossier of consent for clinical research, marketauthorization or post-market authorization of medicines, in the terms of this resolution, was change by Resolution 931, 09 October 2024.The final text is available only in Portuguese and can be downloaded at: https://antigo.anvisa.gov.br/documents/10181/5740831/RDC_931_2024_.pdf/42c43a0e-99cd-4114-9fe1-d5b6421a68d1</t>
  </si>
  <si>
    <t>2941 - Antibiotics; 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in the form of transdermal administration" or in forms or packings for retail sale (excl. goods of heading 3002, 3005 or 3006); 3005 - Wadding, gauze, bandages and the like, e.g. dressings, adhesive plasters, poultices, impregnated or covered with pharmaceutical substances or put up for retail sale for medical, surgical, dental or veterinary purposes; 3004 - Medicaments consisting of mixed or unmixed products for therapeutic or prophylactic uses, put up in measured doses "incl. those in the form of transdermal administration" or in forms or packings for retail sale (excl. goods of heading 3002, 3005 or 3006); 3003 - Medicaments consisting of two or more constituents mixed together for therapeutic or prophylactic uses, not in measured doses or put up for retail sale (excl. goods of heading 3002, 3005 or 3006); 3005 - Wadding, gauze, bandages and the like, e.g. dressings, adhesive plasters, poultices, impregnated or covered with pharmaceutical substances or put up for retail sale for medical, surgical, dental or veterinary purposes; 2941 - Antibiotics</t>
  </si>
  <si>
    <d:r xmlns:d="http://schemas.openxmlformats.org/spreadsheetml/2006/main">
      <d:rPr>
        <d:sz val="11"/>
        <d:rFont val="Calibri"/>
      </d:rPr>
      <d:t xml:space="preserve">https://members.wto.org/crnattachments/2024/TBT/BRA/modification/24_06818_00_x.pdf</d:t>
    </d:r>
  </si>
  <si>
    <t>Amendment of Import Health Standard Commodity Sub-class: Fresh Fruit/Vegetables Durian, (Durio zibethinus) from Thailand</t>
  </si>
  <si>
    <t>The sub-class import health standard describes the import specifications for fresh durian fruit imported into New Zealand.Conogethes punctiferalis is a regulated targeted measure pest for New Zealand and is a biosecurity risk associated with fresh durian from Thailand. MPI is proposing to replace the currently required measure of ‘appropriate pest control activities’ for C. punctiferalis on durian from Thailand with a ‘systems approach’. The risk management proposal document contains technical details. The proposed systems approach schedule is formed by two independent measures below:Pest reduction activities in durian orchards;Packhouse inspection to exclude infested fruits.</t>
  </si>
  <si>
    <t>Fresh durian (Durio zibethinus</t>
  </si>
  <si>
    <t>081060 - Fresh durians</t>
  </si>
  <si>
    <d:r xmlns:d="http://schemas.openxmlformats.org/spreadsheetml/2006/main">
      <d:rPr>
        <d:sz val="11"/>
        <d:rFont val="Calibri"/>
      </d:rPr>
      <d:t xml:space="preserve">https://members.wto.org/crnattachments/2024/SPS/NZL/24_06823_01_e.pdf
https://members.wto.org/crnattachments/2024/SPS/NZL/24_06823_02_e.pdf
https://members.wto.org/crnattachments/2024/SPS/NZL/24_06823_00_e.pdf</d:t>
    </d:r>
  </si>
  <si>
    <t>Draft Decision amending Section 3 of the Chapter II of the Common sanitary-epidemiological and hygienic requirements for products subject to sanitary-epidemiological supervision (control); (1+1 page(s), in Russian)</t>
  </si>
  <si>
    <t>Decision updates Section 3 of the Chapter II of the Common sanitary-epidemiological and hygienic requirements for products subject to sanitary-epidemiological control which regulates the requirements for materials, reagents, equipment for water treatment and water purification.</t>
  </si>
  <si>
    <d:r xmlns:d="http://schemas.openxmlformats.org/spreadsheetml/2006/main">
      <d:rPr>
        <d:sz val="11"/>
        <d:rFont val="Calibri"/>
      </d:rPr>
      <d:t xml:space="preserve">https://docs.eaeunion.org/ria/ru-ru/0106992/ria_11102024</d:t>
    </d:r>
  </si>
  <si>
    <t>Directorial Resolution No. D000038-2024-MIDAGRI-SENASA-DSV The notified Directorial Resolution establishes the mandatory phytosanitary requirements governing the importation of blueberry (Vaccinium spp.) plants originating in and coming from Spain. https://members.wto.org/crnattachments/2024/SPS/PER/24_06822_00_s.pdf</t>
  </si>
  <si>
    <t>Blueberry plants (HS code: 060220)</t>
  </si>
  <si>
    <d:r xmlns:d="http://schemas.openxmlformats.org/spreadsheetml/2006/main">
      <d:rPr>
        <d:sz val="11"/>
        <d:rFont val="Calibri"/>
      </d:rPr>
      <d:t xml:space="preserve">https://members.wto.org/crnattachments/2024/SPS/PER/24_06822_00_s.pdf</d:t>
    </d:r>
  </si>
  <si>
    <t>Georgia</t>
  </si>
  <si>
    <t>On the approval of “Rules for state control and other official activities in the fields of food/animal feed safety, veterinary and plant protection”</t>
  </si>
  <si>
    <t>This Regulation lays down rules for:the performance of official controls and other official activities by the competent authorities;the financing of official controls;the administrative assistance and cooperation;the adoption of conditions to be fulfilled with respect to animals and goods entering Georgia;the establishment of a computerised information system to manage information and data in relation to official controls.This Regulation shall apply to the official controls performed for the verification of compliance with the rules, established in Georgia:(a) food and food safety, integrity and wholesomeness at any stage of production, processing and distribution of food, including rules aimed at ensuring fair practices in trade and protecting consumer interests and information, and the manufacture and use of materials and articles intended to come into contact with food;(b) deliberate release into the environment of Genetically Modified Organisms (GMOs) for the purpose of food and feed production;(c) feed and feed safety at any stage of production, processing and distribution of feed and the use of feed, including rules aimed at ensuring fair practices in trade and protecting consumer health, interests and information;(d) animal health requirements;(e) prevention and minimisation of risks to human and animal health arising from animal by-products and derived products;(f) welfare requirements for animals;(g) protective measures against pests of plants;(h) requirements for the placing on the market and use of plant protection products and the sustainable use of pesticides, with the exception of pesticides application equipment;(i) organic production and labelling of organic products;(j) use and labelling of protected designations of origin, protected geographical indications and traditional specialities guaranteed.</t>
  </si>
  <si>
    <t>All kind of food, feed, animal health and welfare, plant health and plant protection products</t>
  </si>
  <si>
    <t>Food safety (SPS); Animal health (SPS); Plant protection (SPS); Protect territory from other damage from pests (SPS)</t>
  </si>
  <si>
    <d:r xmlns:d="http://schemas.openxmlformats.org/spreadsheetml/2006/main">
      <d:rPr>
        <d:sz val="11"/>
        <d:rFont val="Calibri"/>
      </d:rPr>
      <d:t xml:space="preserve">https://members.wto.org/crnattachments/2024/SPS/GEO/24_06728_00_x.pdf</d:t>
    </d:r>
  </si>
  <si>
    <t>The Ministry of Public Health Notification entitled "The Labelling of Pre-packaged foods"</t>
  </si>
  <si>
    <t>The Draft Ministry of Public Health Notification entitled "The Labelling of Pre-packaged foods", previously notified in G/SPS/N/THA/583 dated 18 October 2022, was published in the Royal Gazette dated 18 July 2024 as Notification of the Ministry of Public Health No. 450.The information of “Date of entry into force” of the notification G/SPS/N/THA/583/Add.1 dated 25 July 2024, should be corrected to read as follows:Date of entry into force: 19 July 2024 (This notification shall come into force after the day following date of its publication in the Royal Gazette.)</t>
  </si>
  <si>
    <t>Pre‑packaged foods (ICS code: 67.230)</t>
  </si>
  <si>
    <t>Human health; Labelling; Food safety; Adoption/publication/entry into force of reg.; Human health; Labelling; Food safety; Labelling; Food safety; Human health</t>
  </si>
  <si>
    <d:r xmlns:d="http://schemas.openxmlformats.org/spreadsheetml/2006/main">
      <d:rPr>
        <d:sz val="11"/>
        <d:rFont val="Calibri"/>
      </d:rPr>
      <d:t xml:space="preserve">https://members.wto.org/crnattachments/2024/SPS/THA/24_06821_00_x.pdf</d:t>
    </d:r>
  </si>
  <si>
    <t>Rectification in the Ordinance SDA/MAPA No. 1.177, dated 4 September 2024, which amends the phytosanitary requirements for the importation of corn seeds from the United States of America</t>
  </si>
  <si>
    <t xml:space="preserve">In Ordinance SDA/MAPA No. 1.177, dated 4 September 2024, published in the Official Gazette of the Union on 6 September 2024, Edition 173, Section 1, page 12, which amends the phytosanitary requirements for the importation of corn seeds from the United States of America, the following corrections are made:"Art. 3º The revocation of item 2.3 of the Annex to the MAPA Normative Instruction No. 4, of January 10, 2001, published in the D.O.U. No. 8, Section 1, pages 5 and 6, of January 11, 2001"_x000D_
should read:_x000D_
_x000D_
“Art. 3º The revocation of item 2.13 of the Annex to the MAPA Normative Instruction No. 4, of January 10, 2001, published in the D.O.U. No. 8, Section 1, pages 5 and 6, of January 11, 2001”</t>
  </si>
  <si>
    <t>Corn seeds</t>
  </si>
  <si>
    <t>Plant health; Territory protection; Plant health; Territory protection</t>
  </si>
  <si>
    <d:r xmlns:d="http://schemas.openxmlformats.org/spreadsheetml/2006/main">
      <d:rPr>
        <d:sz val="11"/>
        <d:rFont val="Calibri"/>
      </d:rPr>
      <d:t xml:space="preserve">https://www.in.gov.br/web/dou/-/retificacao-588589942</d:t>
    </d:r>
  </si>
  <si>
    <t>Letter of the Federal Service for Veterinary and Phytosanitary Surveillance No. FS-ARe-7/6164-3 as of 27 September 2024</t>
  </si>
  <si>
    <t>This letter introduces a temporary restriction on imports of products mentioned in point 3 as well as the transit of cattle, small cattle and animals susceptible to bluetongue from Liguria, Emilia-Romagna, Piedmont and Lombardy regions of Italy to the territory of the Russian Federation due to the registration of bluetongue disease outbreaks.</t>
  </si>
  <si>
    <t>Cattle; small cattle; wild, zoo and circus animals susceptible to bluetongue, camels and other members of the camel family - llamas, alpacas, vicunas; sperm of bulls, sheep and goat-producers; in vitro cattle and small cattle embryos (HS code(s): 0102; 0104; 0106; 051199)</t>
  </si>
  <si>
    <t>Animal health; Animal diseases; Pest- or Disease- free Regions / Regionalization; Bluetongue</t>
  </si>
  <si>
    <t>Italy (Liguria, Emilia-Romagna, Piedmont, Lombardy regions)</t>
  </si>
  <si>
    <d:r xmlns:d="http://schemas.openxmlformats.org/spreadsheetml/2006/main">
      <d:rPr>
        <d:sz val="11"/>
        <d:rFont val="Calibri"/>
      </d:rPr>
      <d:t xml:space="preserve">https://members.wto.org/crnattachments/2024/SPS/RUS/24_06824_00_x.pdf
https://fsvps.gov.ru/files/ukazanie-rosselhoznadzora-ot-27-sentjabrja-2024-goda-fs-arje-7-6164-3/</d:t>
    </d:r>
  </si>
  <si>
    <t>Draft Commission Delegated Decision amending Decision 2000/532/EC as regards an update of the list of waste in relation to battery-related waste</t>
  </si>
  <si>
    <t>This draft Commission Delegated Decision concerns a targeted amendment of European the List of Waste to take into account the emergence of new battery chemistry and in the context of the new Battery Regulation (EU) 2023/1542.</t>
  </si>
  <si>
    <t>Waste batteries, battery manufacturing waste and intermediates from waste battery recycling (new codes available in the Annex of the Delegated Decision)</t>
  </si>
  <si>
    <t>13.030.30 - Special wastes; 29.220 - Galvanic cells and batteries</t>
  </si>
  <si>
    <d:r xmlns:d="http://schemas.openxmlformats.org/spreadsheetml/2006/main">
      <d:rPr>
        <d:sz val="11"/>
        <d:rFont val="Calibri"/>
      </d:rPr>
      <d:t xml:space="preserve">https://members.wto.org/crnattachments/2024/TBT/EEC/24_06746_01_e.pdf
https://members.wto.org/crnattachments/2024/TBT/EEC/24_06746_00_e.pdf</d:t>
    </d:r>
  </si>
  <si>
    <t>Draft resolution 1286, 07 October 2024</t>
  </si>
  <si>
    <t>This Draft Resolution contains provisions on the assessment of the risk to human health of veterinary medicinal products, the maximum residue limits (MRL) of veterinary medicinal products in foods of animal origin and the analysis methods for the purposes of conformity assessment.This draft resoluton will also be notified to the SPS Committee</t>
  </si>
  <si>
    <t>Veterinary medicine (ICS code(s): 11.220)</t>
  </si>
  <si>
    <t>11.220 - Veterinary medicine</t>
  </si>
  <si>
    <d:r xmlns:d="http://schemas.openxmlformats.org/spreadsheetml/2006/main">
      <d:rPr>
        <d:sz val="11"/>
        <d:rFont val="Calibri"/>
      </d:rPr>
      <d:t xml:space="preserve">https://members.wto.org/crnattachments/2024/TBT/BRA/24_06819_00_x.pdf</d:t>
    </d:r>
  </si>
  <si>
    <t>DEAS 1223: 2024 Edible macadamia oil– Specification</t>
  </si>
  <si>
    <t>This draft East African Standard specifies requirements, sampling and test methods for virgin and refined macadamia oil derived from the kernel of the macadamia nuts of varieties grown from Macadamia integrifolia and Macadamia tetraphylla and their hybrids intended for human consumption.</t>
  </si>
  <si>
    <t>Animal and vegetable fats and oils (ICS code(s): 67.200.10)</t>
  </si>
  <si>
    <d:r xmlns:d="http://schemas.openxmlformats.org/spreadsheetml/2006/main">
      <d:rPr>
        <d:sz val="11"/>
        <d:rFont val="Calibri"/>
      </d:rPr>
      <d:t xml:space="preserve">https://members.wto.org/crnattachments/2024/TBT/KEN/24_06766_00_e.pdf
Kenya Bureau of Standards
WTO/TBT National Enquiry Point
P.O. Box: 54974-00200
 Nairobi
 Kenya
Telephone: + (254) 020 605490
 605506/6948258
Fax: + (254) 020 609660/609665
E-mail: info@kebs.org; Website: http://www.kebs.org
</d:t>
    </d:r>
  </si>
  <si>
    <t>Draft - Establishes the phytosanitary requirements for the import of tubers (Category 3) of potatoes (Solanum tuberosum) for consumption and processing produced in the United States of America.</t>
  </si>
  <si>
    <t>0701 - Potatoes, fresh or chilled</t>
  </si>
  <si>
    <d:r xmlns:d="http://schemas.openxmlformats.org/spreadsheetml/2006/main">
      <d:rPr>
        <d:sz val="11"/>
        <d:rFont val="Calibri"/>
      </d:rPr>
      <d:t xml:space="preserve">https://members.wto.org/crnattachments/2024/SPS/BRA/24_06803_00_e.pdf
https://members.wto.org/crnattachments/2024/SPS/BRA/24_06803_00_x.pdf</d:t>
    </d:r>
  </si>
  <si>
    <t>Draft - Establishes the phytosanitary requirements for the import of tubers (Category 4) of potatoes (Solanum tuberosum) for propagation produced in the United States of America</t>
  </si>
  <si>
    <t>Draft - Establishes the phytosanitary requirements for the import of tubers (Category 4) of potatoes (Solanum tuberosum) for propagation produced in the United States of America.</t>
  </si>
  <si>
    <d:r xmlns:d="http://schemas.openxmlformats.org/spreadsheetml/2006/main">
      <d:rPr>
        <d:sz val="11"/>
        <d:rFont val="Calibri"/>
      </d:rPr>
      <d:t xml:space="preserve">https://members.wto.org/crnattachments/2024/SPS/BRA/24_06802_00_e.pdf
https://members.wto.org/crnattachments/2024/SPS/BRA/24_06802_00_x.pdf</d:t>
    </d:r>
  </si>
  <si>
    <t>Draft - Establishes the phytosanitary requirements for the import of tubers (Category 3) of potatoes (Solanum tuberosum) for consumption and processing produced in Canada</t>
  </si>
  <si>
    <t>Draft. Establishes the phytosanitary requirements for the import of tubers (Category 3) of potatoes (Solanum tuberosum) for consumption and processing produced in Canada.</t>
  </si>
  <si>
    <d:r xmlns:d="http://schemas.openxmlformats.org/spreadsheetml/2006/main">
      <d:rPr>
        <d:sz val="11"/>
        <d:rFont val="Calibri"/>
      </d:rPr>
      <d:t xml:space="preserve">https://members.wto.org/crnattachments/2024/SPS/BRA/24_06801_00_e.pdf
https://members.wto.org/crnattachments/2024/SPS/BRA/24_06801_00_x.pdf</d:t>
    </d:r>
  </si>
  <si>
    <t>DEAS 1222: 2024 Edible canola (rapeseed) oil– Specification </t>
  </si>
  <si>
    <t>This draft East African Standard specifies requirements, sampling and test methods for virgin and refined canola (rapeseed) oil derived by extraction from seeds of Brassica napus L., Brassica campestris L., Brassica juncea L. and Brassica tournefortii Gouan species intended for human consumption.</t>
  </si>
  <si>
    <t>1514 - Rape, colza or mustard oil and fractions thereof, whether or not refined, but not chemically modified</t>
  </si>
  <si>
    <d:r xmlns:d="http://schemas.openxmlformats.org/spreadsheetml/2006/main">
      <d:rPr>
        <d:sz val="11"/>
        <d:rFont val="Calibri"/>
      </d:rPr>
      <d:t xml:space="preserve">https://members.wto.org/crnattachments/2024/TBT/KEN/24_06761_00_e.pdf
Kenya Bureau of Standards
WTO/TBT National Enquiry Point
P.O. Box: 54974-00200
 Nairobi
 Kenya
Telephone: + (254) 020 605490
 605506/6948258
Fax: + (254) 020 609660/609665
E-mail: info@kebs.org; Website: http://www.kebs.org
</d:t>
    </d:r>
  </si>
  <si>
    <t>Draft Resolution 1285, 27 September 2024</t>
  </si>
  <si>
    <t>This draft resolution proposes the inclusion of active ingredient  C91 - CORYMBIA CITRIODORA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</si>
  <si>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https://members.wto.org/crnattachments/2024/SPS/BRA/24_06796_00_x.pdf
Draft: https://antigo.anvisa.gov.br/documents/10181/6879837/CONSULTA+PUBLICA+N%C2%BA+1285+GGTOX.pdf/aa273aa8-08b3-4c99-85a2-f4d45aa8a4d7
Comment form:  http://pesquisa.anvisa.gov.br/index.php/519523?lang=pt-BR</d:t>
    </d:r>
  </si>
  <si>
    <t>The draft Law of Ukraine "On Grapes and Viticulture Products"</t>
  </si>
  <si>
    <t>Ukraine notifies that the draft Law of Ukraine "On Grapes and Viticulture Products" was adopted as the Law of Ukraine “On Grapes, Wine and Viticulture Products” No. 3928 of 22 August 2024.The Law was published on 4 October 2024.The Law will entry into force on 1 January 2026, except for paragraphs 1, 2, 4-10, 13-23 of subsection 1; subsections 2, 4, 6, 7, 8, 10 of clause 4; clauses 9 and 12 of Section XV “Final And Transitional Provisions” of the Law, which entered into force from the day following the day of publication of the Law.The Law of Ukraine "On Grapes and Grape Wine" No. 2662 of 16 June 2005 will become invalid as of the date of entry into force of the Law of Ukraine “On Grapes, Wine and Viticulture Products” No. 3928 of 22 August 2024, i.e. as of 1 January 2026.The operation of the Viticultural and Winemaking Register shall also be established from 1 January 2026.</t>
  </si>
  <si>
    <t>Grapes and viticulture products, grape wine </t>
  </si>
  <si>
    <t>2204 - Wine of fresh grapes, incl. fortified wines; grape must, partly fermented and of an actual alcoholic strength of &gt; 0,5% vol or grape must with added alcohol of an actual alcoholic strength of &gt; 0,5% vol; 2205 - Vermouth and other wine of fresh grapes, flavoured with plants or aromatic substances; 2205 - Vermouth and other wine of fresh grapes, flavoured with plants or aromatic substances; 2204 - Wine of fresh grapes, incl. fortified wines; grape must, partly fermented and of an actual alcoholic strength of &gt; 0,5% vol or grape must with added alcohol of an actual alcoholic strength of &gt; 0,5% vol</t>
  </si>
  <si>
    <t>Food safety; Human health; Beverages; Adoption/publication/entry into force of reg.; Beverages; Human health; Food safety</t>
  </si>
  <si>
    <d:r xmlns:d="http://schemas.openxmlformats.org/spreadsheetml/2006/main">
      <d:rPr>
        <d:sz val="11"/>
        <d:rFont val="Calibri"/>
      </d:rPr>
      <d:t xml:space="preserve">https://members.wto.org/crnattachments/2024/SPS/UKR/24_06811_00_x.pdf
https://zakon.rada.gov.ua/laws/show/3928-20#Text</d:t>
    </d:r>
  </si>
  <si>
    <t>Draft - Establishes phytosanitary requirements for the import of Camelina (Camelina Sativa) seeds from Spain</t>
  </si>
  <si>
    <t>This draft establishes phytosanitary requirements for the import of Camelina (Camelina Sativa) seeds from Spain.</t>
  </si>
  <si>
    <t>Camelina (Camelina sativa) seeds</t>
  </si>
  <si>
    <d:r xmlns:d="http://schemas.openxmlformats.org/spreadsheetml/2006/main">
      <d:rPr>
        <d:sz val="11"/>
        <d:rFont val="Calibri"/>
      </d:rPr>
      <d:t xml:space="preserve">https://members.wto.org/crnattachments/2024/SPS/BRA/24_06805_00_x.pdf</d:t>
    </d:r>
  </si>
  <si>
    <t>DEAS 14: 2024 Fats spreads and blended spreads– Specification</t>
  </si>
  <si>
    <t>This draft East African Standard specifies requirements, sampling and test methods for fat spreads and blended spreads.It does not apply to fat spreads derived exclusively from milk and/or milk products to which only other substances necessary for their manufacture have been added such as butter and dairy spreads.</t>
  </si>
  <si>
    <d:r xmlns:d="http://schemas.openxmlformats.org/spreadsheetml/2006/main">
      <d:rPr>
        <d:sz val="11"/>
        <d:rFont val="Calibri"/>
      </d:rPr>
      <d:t xml:space="preserve">https://members.wto.org/crnattachments/2024/TBT/KEN/24_06776_00_e.pdf
Kenya Bureau of Standards
WTO/TBT National Enquiry Point
P.O. Box: 54974-00200
 Nairobi
 Kenya
Telephone: + (254) 020 605490
 605506/6948258
Fax: + (254) 020 609660/609665
E-mail: info@kebs.org; Website: http://www.kebs.org
</d:t>
    </d:r>
  </si>
  <si>
    <t>Established Maximum Residue Limit: Dimethenamid</t>
  </si>
  <si>
    <t>The proposed maximum residue limit (PMRL) document for dimethenamid notified in G/SPS/N/CAN/1562 (dated 18 July 2024) was adopted 9 October 2024. The proposed MRL was established via entry into the Maximum Residue Limits Database and is provided directly below: MRL (ppm)1 Raw Agricultural Commodity (RAC) and/or Processed Commodity0.01             Shallot bulbs1 ppm = parts per millionMRLs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</si>
  <si>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dimethenamid in or on shallot bulbs (ICS codes: 65.020, 65.100, 67.040, 67.080)</t>
  </si>
  <si>
    <t>Draft - Establishes phytosanitary requirements for the import of Camelina (Camelina Sativa) seeds from the United States of America</t>
  </si>
  <si>
    <t>This draft establishes phytosanitary requirements for the import of Camelina (Camelina Sativa) seeds from the United States of America.</t>
  </si>
  <si>
    <d:r xmlns:d="http://schemas.openxmlformats.org/spreadsheetml/2006/main">
      <d:rPr>
        <d:sz val="11"/>
        <d:rFont val="Calibri"/>
      </d:rPr>
      <d:t xml:space="preserve">https://members.wto.org/crnattachments/2024/SPS/BRA/24_06804_00_e.pdf
https://members.wto.org/crnattachments/2024/SPS/BRA/24_06804_00_x.pdf</d:t>
    </d:r>
  </si>
  <si>
    <t>151590 - Fixed vegetable fats and oils and their fractions, whether or not refined, but not chemically modified (excl. soya-bean, groundnut, olive, palm, sunflower-seed, safflower, cotton-seed, coconut, palm kernel, babassu, rape, colza and mustard, linseed, maize, castor and sesame oil and microbial oils)</t>
  </si>
  <si>
    <t>Draft Resolution 1269, 16 July 2024</t>
  </si>
  <si>
    <t>Draft Resolution 1269, 16 July 2024 - previously notified through   G/SPS/N/BRA/2316 - was adopted as Normative Instruction 326, 4 October 2024. The regulation proposes the inclusion of active ingredient B69 - BACULOVIRUS CYDIA POMONELLA  GRANULOVIRUS on the Monograph List of Active Ingredients for Pesticides, Household Cleaning Products and Wood Preservatives, which was published by Normative Instruction 103 on 19 October 2021 in the Brazilian Official Gazette (DOU - Diário Oficial da União).The final text is available only in Portuguese and can be downloaded at:</t>
  </si>
  <si>
    <d:r xmlns:d="http://schemas.openxmlformats.org/spreadsheetml/2006/main">
      <d:rPr>
        <d:sz val="11"/>
        <d:rFont val="Calibri"/>
      </d:rPr>
      <d:t xml:space="preserve">https://members.wto.org/crnattachments/2024/SPS/BRA/24_06785_00_x.pdf
https://antigo.anvisa.gov.br/documents/10181/6795041/IN_326_2024_.pdf/91bebd0d-18ef-4c09-ac49-8df4a230e1cc</d:t>
    </d:r>
  </si>
  <si>
    <t>Ordinance  SDA/MAPA No. 1.184, of 4 October 2024 - Establishes the phytosanitary requirements for the importation of anigozanthos (Anigozanthos spp.) propagative material from any origin</t>
  </si>
  <si>
    <t>The phytosanitary requirements for the importation of anigozanthos (Anigozanthos spp.) propagative material from any origin are hereby established.</t>
  </si>
  <si>
    <t>Anigozanthos (Anigozanthos spp.) propagative material</t>
  </si>
  <si>
    <d:r xmlns:d="http://schemas.openxmlformats.org/spreadsheetml/2006/main">
      <d:rPr>
        <d:sz val="11"/>
        <d:rFont val="Calibri"/>
      </d:rPr>
      <d:t xml:space="preserve">https://www.in.gov.br/web/dou/-/portaria-sda/mapa-n-1.184-de-4-de-outubro-de-2024-588862448</d:t>
    </d:r>
  </si>
  <si>
    <t>Adoption and Implementation of the ASEAN Mutual Recognition Arrangement for Bioequivalence Study Reports of Generic Medicinal Products </t>
  </si>
  <si>
    <t>The policy adopts the ASEAN Mutual Recognition Arrangement for Bioequivalence Study Reports of Generic Medicinal Products and contains the general rules, regulations, and guidelines for the for the covered generic pharmaceutical products and listing of BE Centres in the ASEAN. </t>
  </si>
  <si>
    <d:r xmlns:d="http://schemas.openxmlformats.org/spreadsheetml/2006/main">
      <d:rPr>
        <d:sz val="11"/>
        <d:rFont val="Calibri"/>
      </d:rPr>
      <d:t xml:space="preserve">https://members.wto.org/crnattachments/2024/TBT/PHL/24_06810_00_e.pdf</d:t>
    </d:r>
  </si>
  <si>
    <t>DEAS 297: 2024 Edible soya bean oil– Specification</t>
  </si>
  <si>
    <t>This draft East African Standard specifies the requirements, sampling, and test methods for virgin and refined soya bean (soybean) oil derived from seeds of soya beans (Glycine max (L.) Merr.) intended for human consumption.</t>
  </si>
  <si>
    <d:r xmlns:d="http://schemas.openxmlformats.org/spreadsheetml/2006/main">
      <d:rPr>
        <d:sz val="11"/>
        <d:rFont val="Calibri"/>
      </d:rPr>
      <d:t xml:space="preserve">https://members.wto.org/crnattachments/2024/TBT/KEN/24_06771_00_e.pdf
Kenya Bureau of Standards
WTO/TBT National Enquiry Point
P.O. Box: 54974-00200
 Nairobi
 Kenya
Telephone: + (254) 020 605490
 605506/6948258
Fax: + (254) 020 609660/609665
E-mail: info@kebs.org; Website: http://www.kebs.org</d:t>
    </d:r>
  </si>
  <si>
    <t>Ordinance  SDA/MAPA No. 1.185, of 4 October 2024 - Establishes the phytosanitary requirements for the import of sunflower kernel seeds (Helianthus annuus) of any origin</t>
  </si>
  <si>
    <t>The phytosanitary requirements for the import of kernel seeds (Category 2) of sunflower (Helianthus annuus), of any origin, are hereby established. </t>
  </si>
  <si>
    <t>Sunflower kernel seeds (Helianthus annuus</t>
  </si>
  <si>
    <t>120600 - Sunflower seeds, whether or not broken; 120600 - Sunflower seeds, whether or not broken</t>
  </si>
  <si>
    <t>Territory protection; Seeds; Plant health; Adoption/publication/entry into force of reg.; Territory protection; Seeds; Plant health</t>
  </si>
  <si>
    <d:r xmlns:d="http://schemas.openxmlformats.org/spreadsheetml/2006/main">
      <d:rPr>
        <d:sz val="11"/>
        <d:rFont val="Calibri"/>
      </d:rPr>
      <d:t xml:space="preserve">https://www.in.gov.br/en/web/dou/-/portaria-sda/mapa-n-1.185-de-4-de-outubro-de-2024-588911317</d:t>
    </d:r>
  </si>
  <si>
    <t>ConsultationonSRSP-306.4, issue 7</t>
  </si>
  <si>
    <t>Notice is hereby given by the Ministry of Innovation, Science and Economic Development Canada has amended the following standard:SRSP-306.4, Issue 7, “Technical Requirements for Fixed Line-of-Sight Radio Systems Operating in the Band 6425-6930 MHz”, sets out the minimum technical requirements for the efficient use of the band 6425-6930 MHz by point-to-point radio systems in the fixed service.</t>
  </si>
  <si>
    <t>Telecommunications (ICS 33.170)</t>
  </si>
  <si>
    <t>33.170 - Television and radio broadcasting</t>
  </si>
  <si>
    <d:r xmlns:d="http://schemas.openxmlformats.org/spreadsheetml/2006/main">
      <d:rPr>
        <d:sz val="11"/>
        <d:rFont val="Calibri"/>
      </d:rPr>
      <d:t xml:space="preserve">https://www.rabc-cccr.ca/ised-standard-radio-system-plan-srsp-306-4-issue-7-technical-requirements-for-fixed-line-of-sight-radio-systems-operating-in-the-band-6425-6930-mhz/
(English)
https://www.rabc-cccr.ca/fr/isde-plan-normalise-de-reseaux-hertziens-pnrh-3064-7e-edition-prescriptions-techniques-relatives-aux-reseaux-hertziens-du-service-fixe-en-visibilite-directe-fonctionnant-dans-la-bande-6-425-6-93/
(French)</d:t>
    </d:r>
  </si>
  <si>
    <t>Draft - Establishes the phytosanitary requirements for the import of tubers (Category 3) of potatoes (Solanum tuberosum) for consumption and processing produced in Venezuela</t>
  </si>
  <si>
    <t>Draft - Establishes the phytosanitary requirements for the import of tubers (Category 3) of potatoes (Solanum tuberosum) for consumption and processing produced in Venezuela.</t>
  </si>
  <si>
    <t>Venezuela, Bolivarian Republic of</t>
  </si>
  <si>
    <d:r xmlns:d="http://schemas.openxmlformats.org/spreadsheetml/2006/main">
      <d:rPr>
        <d:sz val="11"/>
        <d:rFont val="Calibri"/>
      </d:rPr>
      <d:t xml:space="preserve">https://members.wto.org/crnattachments/2024/SPS/BRA/24_06807_00_x.pdf</d:t>
    </d:r>
  </si>
  <si>
    <t>Draft - Establishes the phytosanitary requirements for the import of tubers (Category 4) of potatoes (Solanum tuberosum) for propagation produced in Canada</t>
  </si>
  <si>
    <t>Draft - Establishes the phytosanitary requirements for the import of tubers (Category 4) of potatoes (Solanum tuberosum) for propagation produced in Canada.</t>
  </si>
  <si>
    <d:r xmlns:d="http://schemas.openxmlformats.org/spreadsheetml/2006/main">
      <d:rPr>
        <d:sz val="11"/>
        <d:rFont val="Calibri"/>
      </d:rPr>
      <d:t xml:space="preserve">https://members.wto.org/crnattachments/2024/SPS/BRA/24_06800_00_e.pdf
https://members.wto.org/crnattachments/2024/SPS/BRA/24_06800_00_x.pdf</d:t>
    </d:r>
  </si>
  <si>
    <t>1507 - Soya-bean oil and its fractions, whether or not refined (excl. chemically modified)</t>
  </si>
  <si>
    <t>Resolución 1185 de 2024 del Ministerio de Comercio, Industria y Turismo "Por la cual se expide el Reglamento Técnico aplicable a talleres, equipos y procesos de conversión de combustibles para uso vehicular" (Ministry of Commerce, Industry and Tourism Resolution No. 1185 of 2024, issuing the Technical Regulation governing workshops engaged in, and equipment and procedures for, the conversion of vehicle fuel systems)</t>
  </si>
  <si>
    <t>The Republic of Colombia hereby advises that the draft Resolution issuing the Technical Regulation governing workshops engaged in, and equipment and procedures for, the conversion of vehicle fuel systems was issued on 26 September 2024 pursuant to Ministry of Commerce, Industry and Tourism Resolution No. 1185 of 2024, which will enter into force eighteen (18) months after publication in the Official Journal. As of that date, Resolution No. 0957 of 2012 and its amending resolutions will be repealed. __________</t>
  </si>
  <si>
    <t>Bombonas "damajuanas" botellas, frascos y artículos simil. para transporte o envasado, de plástico (Código(s) del SA: 392330); Recipientes para gas comprimido o licuado, de fundición, hierro o acero (Código(s) del SA: 7311); Partes y accesorios de tractores, vehículos automóviles para transporte de &gt;= 10 personas, automóviles de turismo, vehículos automóviles para transporte de mercancías o para usos especiales, n.c.o.p. (Código(s) del SA: 870899)</t>
  </si>
  <si>
    <t>392330 - Carboys, bottles, flasks and similar articles for the conveyance or packaging of goods, of plastics; 7311 - Containers for compressed or liquefied gas, of iron or steel.; 870899 - Parts and accessories, for tractors, motor vehicles for the transport of ten or more persons, motor cars and other motor vehicles principally designed for the transport of persons, motor vehicles for the transport of goods and special purpose motor vehicles, n.e.s.; 870899 - Parts and accessories, for tractors, motor vehicles for the transport of ten or more persons, motor cars and other motor vehicles principally designed for the transport of persons, motor vehicles for the transport of goods and special purpose motor vehicles, n.e.s.; 7311 - Containers for compressed or liquefied gas, of iron or steel.; 392330 - Carboys, bottles, flasks and similar articles for the conveyance or packaging of goods, of plastics</t>
  </si>
  <si>
    <t>75.060 - Natural gas; 75.060 - Natural gas; 75.160.20 - Liquid fuels; 75.160.20 - Liquid fuels</t>
  </si>
  <si>
    <d:r xmlns:d="http://schemas.openxmlformats.org/spreadsheetml/2006/main">
      <d:rPr>
        <d:sz val="11"/>
        <d:rFont val="Calibri"/>
      </d:rPr>
      <d:t xml:space="preserve">https://members.wto.org/crnattachments/2024/TBT/COL/final_measure/24_06759_00_s.pdf
https://members.wto.org/crnattachments/2024/TBT/COL/final_measure/24_06759_01_s.pdf</d:t>
    </d:r>
  </si>
  <si>
    <t>This draft resolution proposes the inclusion of active ingredient  C90 - COFFEA SP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</si>
  <si>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https://members.wto.org/crnattachments/2024/SPS/BRA/24_06795_00_x.pdf
Draft: https://antigo.anvisa.gov.br/documents/10181/6879837/CONSULTA+PUBLICA+N%C2%BA+1284+GGTOX.pdf/d3130e1c-5ce7-4178-b462-313dfe75b197
Comment form:  http://pesquisa.anvisa.gov.br/index.php/842929?lang=pt-BR</d:t>
    </d:r>
  </si>
  <si>
    <t>DKS 3015-9: 2024 Protection and repair of concrete structures — Definitions, requirements, quality control and evaluation of conformity – Part 9: General principles for the use of products and systems. </t>
  </si>
  <si>
    <t>This Kenya Standard sets out basic considerations for specification of protection and repair of reinforcement and unreinforced concrete structures including pavements, runways, floor slabs and pre-stressed structures using products and systems specified in this series of standards.It shall also cover atmospherically exposed, buried and submerged structure.</t>
  </si>
  <si>
    <t>Concrete structures (ICS code(s): 91.080.40)</t>
  </si>
  <si>
    <t>91.080.40 - Concrete structures</t>
  </si>
  <si>
    <d:r xmlns:d="http://schemas.openxmlformats.org/spreadsheetml/2006/main">
      <d:rPr>
        <d:sz val="11"/>
        <d:rFont val="Calibri"/>
      </d:rPr>
      <d:t xml:space="preserve">https://members.wto.org/crnattachments/2024/TBT/KEN/24_06782_00_e.pdf
Kenya Bureau of Standards
WTO/TBT National Enquiry Point
P.O. Box: 54974-00200
 Nairobi
 Kenya
Telephone: + (254) 020 605490
 605506/6948258
Fax: + (254) 020 609660/609665
E-mail: info@kebs.org; Website: http://www.kebs.org
</d:t>
    </d:r>
  </si>
  <si>
    <t>Draft - Establishes the phytosanitary requirements for the import of tubers (Category 4) of potatoes (Solanum tuberosum) for propagation produced in Chile</t>
  </si>
  <si>
    <t>Draft - Establishes the phytosanitary requirements for the import of tubers (Category 4) of potatoes (Solanum tuberosum) for propagation produced in Chile.</t>
  </si>
  <si>
    <d:r xmlns:d="http://schemas.openxmlformats.org/spreadsheetml/2006/main">
      <d:rPr>
        <d:sz val="11"/>
        <d:rFont val="Calibri"/>
      </d:rPr>
      <d:t xml:space="preserve">https://members.wto.org/crnattachments/2024/SPS/BRA/24_06797_00_x.pdf</d:t>
    </d:r>
  </si>
  <si>
    <t>Regulations Amending the Radiation Emitting Devices Regulations (Laser Products)</t>
  </si>
  <si>
    <t>The regulatory amendments notified in G/TBT/N/CAN/702 (dated July 5, 2023) were registered on September 27, 2024, and published in the Canada Gazette, Part II on October 9, 2024 as the Regulations Amending the Radiation Emitting Devices Regulations (Laser Products)(SOR/2024-196).The requirements of the Radiation Emitting Device RegulationsRegulations) have not changed substantively in over 30 years. Changes to the Regulations will include new provisions to replace the existing radiation protection requirements for laser scanners and demonstration lasers with modern requirements appropriate for the broad scope of laser products available to Canadians today, and proportional to their level of hazard. The amendments will:apply to all laser products except for medical devices (as defined in the Medical Devices Regulations), non-operable laser components and repair parts (as per conditions outlined in the scope of the International Electro-technical Commission’s (IEC) IEC 60825-1:2014 Safety of Laser Products - Part 1: Equipment classification and requirements (the IEC standard), and products to which the Radiation Emitting Devices Act does not apply;align laser radiation safety requirements of the Regulations with an international standard for laser products by adopting specific sections of the IEC standard;introduce the IEC classification system for “laser products” that classifies products according to their degree of hazard;establish testing methods and rules to determine accessible emission levels and assign laser products to a particular hazard class. Laser products with an emission level that does not exceed the Class 1 accessible emission limit under all conditions of operation, maintenance, service, and failure will be exempt from engineering, labelling, and accompanying information requirements;require built-in engineering safety features that are appropriate for the laser class to manage exposure to hazardous levels of radiation; andestablish labelling requirements and accompanying information to support compliance monitoring, verification, and enforcement activities (e.g. requiring specific details to uniquely identify laser products and their manufacturing origins) and help individuals who are purchasing, operating, and servicing laser products to make more informed decisions.References to the IEC standard in these regulatory amendments are static. </t>
  </si>
  <si>
    <t>Various laser devices including but not limited to HS845611, 851580, 85219010, and 901320.The following laser devices would be excluded from this proposal:·         laser-based medical devices as defined by the Medical Devices Regulations·         laser products that are sold to other manufacturers for use as components of any system for subsequent sale e.g., diode (as per IEC 60825-1:2014)·         laser products sold by or for manufacturers of end products for use as repair parts (as per IEC 60825-1:2014)</t>
  </si>
  <si>
    <t>851580 - Electric machines and apparatus for laser or other light or photon beam, ultrasonic, electron beam, magnetic pulse or plasma arc welding; electric machines and apparatus for hot spraying of metals, metal carbides or cermets (excl. metal spray guns specified elsewhere); 845611 - Machine tools for working any material by removal of material, operated by laser (excl. soldering and welding machines, also those which can be used for cutting, material testing machines and machines for the manufacture of semiconductor devices or of electronic integrated circuits); 852190 - Video recording or reproducing apparatus, whether or not incorporating a video tuner (excl. magnetic tape-type and video camera recorders); 901320 - Lasers (excl. laser diodes); 852190 - Video recording or reproducing apparatus, whether or not incorporating a video tuner (excl. magnetic tape-type and video camera recorders); 851580 - Electric machines and apparatus for laser or other light or photon beam, ultrasonic, electron beam, magnetic pulse or plasma arc welding; electric machines and apparatus for hot spraying of metals, metal carbides or cermets (excl. metal spray guns specified elsewhere); 845611 - Machine tools for working any material by removal of material, operated by laser (excl. soldering and welding machines, also those which can be used for cutting, material testing machines and machines for the manufacture of semiconductor devices or of electronic integrated circuits); 901320 - Lasers (excl. laser diodes)</t>
  </si>
  <si>
    <t>31.260 - Optoelectronics. Laser equipment; 31.260 - Optoelectronics. Laser equipment</t>
  </si>
  <si>
    <d:r xmlns:d="http://schemas.openxmlformats.org/spreadsheetml/2006/main">
      <d:rPr>
        <d:sz val="11"/>
        <d:rFont val="Calibri"/>
      </d:rPr>
      <d:t xml:space="preserve">https://canadagazette.gc.ca/rp-pr/p2/2024/2024-10-09/html/sor-dors196-eng.html (English)
https://canadagazette.gc.ca/rp-pr/p2/2024/2024-10-09/html/sor-dors196-fra.html  (French)
https://www.canada.ca/en/health-canada/services/health-risks-safety/radiation/everyday-things-emit-radiation/laser-products/guidance.html</d:t>
    </d:r>
  </si>
  <si>
    <t>Kyrgyz Republic</t>
  </si>
  <si>
    <t>The draft provides for the updating of the Section 19 of the Chapter II of the Common sanitary-epidemiological and hygienic requirements for products subject to sanitary-epidemiological supervision (control) which regulates the requirements for chemical and petrochemical industrial products.</t>
  </si>
  <si>
    <t>75.080 - Petroleum products in general</t>
  </si>
  <si>
    <d:r xmlns:d="http://schemas.openxmlformats.org/spreadsheetml/2006/main">
      <d:rPr>
        <d:sz val="11"/>
        <d:rFont val="Calibri"/>
      </d:rPr>
      <d:t xml:space="preserve">https://members.wto.org/crnattachments/2024/TBT/KGZ/24_06590_00_x.pdf
https://members.wto.org/crnattachments/2024/TBT/KGZ/24_06590_01_x.pdf</d:t>
    </d:r>
  </si>
  <si>
    <t>Draft - Establishes the phytosanitary requirements for the import of tubers (Category 3) of potatoes (Solanum tuberosum) for consumption and processing produced in Chile</t>
  </si>
  <si>
    <t>Draft - Establishes the phytosanitary requirements for the import of tubers (Category 3) of potatoes (Solanum tuberosum) for consumption and processing produced in Chile.</t>
  </si>
  <si>
    <d:r xmlns:d="http://schemas.openxmlformats.org/spreadsheetml/2006/main">
      <d:rPr>
        <d:sz val="11"/>
        <d:rFont val="Calibri"/>
      </d:rPr>
      <d:t xml:space="preserve">https://members.wto.org/crnattachments/2024/SPS/BRA/24_06798_00_x.pdf</d:t>
    </d:r>
  </si>
  <si>
    <t>SDA/MAPA ORDINANCE  No. 1.183, of 23 September 2024 - Amends SDA/MAPA Ordinance No. 1.180, of 9 September 2024, which establishes the guidelines of the National Programme for Bovine Spongiform Encephalopathy Programme for the application of official prevention and surveillance measures</t>
  </si>
  <si>
    <t xml:space="preserve">Art. 1 Ordinance SDA/MAPA No. 1.180, of 9 September 2024 shall come into force with the following amendment:_x000D_
"Art. 37 This Ordinance shall enter into force on 2 May 2025.” (NR)_x000D_
Art. 2 This Ordinance comes into force on the date of its publication.</t>
  </si>
  <si>
    <t>Animal products</t>
  </si>
  <si>
    <t>Bovine Spongiform Encephalopathy (BSE); Animal health; Animal diseases; Change in date of adoption/publication/entry into force; Animal health; Animal diseases; Bovine Spongiform Encephalopathy (BSE)</t>
  </si>
  <si>
    <d:r xmlns:d="http://schemas.openxmlformats.org/spreadsheetml/2006/main">
      <d:rPr>
        <d:sz val="11"/>
        <d:rFont val="Calibri"/>
      </d:rPr>
      <d:t xml:space="preserve">https://members.wto.org/crnattachments/2024/SPS/BRA/24_06789_00_x.pdf
https://www.in.gov.br/web/dou/-/portaria-sda/mapa-n-1.183-de-23-de-setembro-de-2024-586164233</d:t>
    </d:r>
  </si>
  <si>
    <t>Established Maximum Residue Limits: Metsulfuron-methyl</t>
  </si>
  <si>
    <t>The proposed maximum residue limit (PMRL) document for metsulfuron-methyl notified in G/SPS/N/CAN/1563 (dated 18 July 2024) was adopted 9 October 2024. The proposed MRLs were established via entry into the Maximum Residue Limits Database and are provided directly below: MRL (ppm)1 Raw Agricultural Commodity (RAC) and/or Processed Commodity0.1               Rye, triticale1 ppm = parts per millionMRLs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</si>
  <si>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metsulfuron-methyl in or on rye and triticale (ICS codes: 65.020, 65.100, 67.040, 67.060)</t>
  </si>
  <si>
    <t>DKS 3015-1: 2024 Products and systems for the protection and repair of concrete structures — Definitions, requirements, quality control and evaluation of conformity – Part 1: Definitions </t>
  </si>
  <si>
    <t>This Kenyan Standard defines terms relating to products and systems for repair, for use in maintenance and protection, restoration and strengthening of concrete structures.</t>
  </si>
  <si>
    <d:r xmlns:d="http://schemas.openxmlformats.org/spreadsheetml/2006/main">
      <d:rPr>
        <d:sz val="11"/>
        <d:rFont val="Calibri"/>
      </d:rPr>
      <d:t xml:space="preserve">https://members.wto.org/crnattachments/2024/TBT/KEN/24_06760_00_e.pdf
Kenya Bureau of Standards
WTO/TBT National Enquiry Point
P.O. Box: 54974-00200
 Nairobi
 Kenya
Telephone: + (254) 020 605490
 605506/6948258
Fax: + (254) 020 609660/609665
E-mail: info@kebs.org; Website: http://www.kebs.org
</d:t>
    </d:r>
  </si>
  <si>
    <t>Proposed Maximum Residue Limit: Flupyradifurone (PMRL2024-22)</t>
  </si>
  <si>
    <t>The objective of the notified document PMRL2024-22 is to consult on the listed maximum residue limit (MRL) for flupyradifurone that has been proposed by Health Canada’s Pest Management Regulatory Agency (PMRA).MRL (ppm)1 Raw Agricultural Commodity (RAC) and/or Processed Commodity0.03            Mustard seeds (condiment type)1 ppm = parts per million</t>
  </si>
  <si>
    <t>Pesticide flupyradifurone in or on mustard seeds (condiment type) (ICS codes: 65.020, 65.100, 67.040, 67.220)</t>
  </si>
  <si>
    <t>120750 - Mustard seeds, whether or not broken</t>
  </si>
  <si>
    <t>65.020 - Farming and forestry; 65.100 - Pesticides and other agrochemicals; 67.040 - Food products in general; 67.220 - Spices and condiments. Food additives</t>
  </si>
  <si>
    <t>Draft Decision of the Council of the Eurasian Economic Commission on Amendments to the Common Quarantine Phytosanitary Requirements for Quarantinable Products and Quarantinable Objects at the Customs Border and in the Customs Territory of the EAEU</t>
  </si>
  <si>
    <t>The draft amends the Common Quarantine Phytosanitary Requirements for Quarantinable Products and Quarantinable Objects at the Customs Border and in the Customs Territory of the EAEU and establishes quarantine phytosanitary requirements for seedlings, rootstocks, cuttings and fruits of apple and pear trees with regard to the pathogen of strawberry anthracnose disease (Colletotrichum acutatum), as well as editorial changes aimed at improving the Common Quarantine Phytosanitary Requirements.</t>
  </si>
  <si>
    <t>Goods (products) subject to phytosanitary control</t>
  </si>
  <si>
    <d:r xmlns:d="http://schemas.openxmlformats.org/spreadsheetml/2006/main">
      <d:rPr>
        <d:sz val="11"/>
        <d:rFont val="Calibri"/>
      </d:rPr>
      <d:t xml:space="preserve">https://members.wto.org/crnattachments/2024/SPS/RUS/24_06815_00_x.pdf
https://members.wto.org/crnattachments/2024/SPS/RUS/24_06815_01_x.pdf
https://docs.eaeunion.org/ria/ru-ru/0106930/ria_17092024</d:t>
    </d:r>
  </si>
  <si>
    <t>Draft - Establishes phytosanitary requirements for the import of Camelina (Camelina Sativa) seeds from Chile</t>
  </si>
  <si>
    <t>This draft establishes phytosanitary requirements for the import of Camelina (Camelina Sativa) seeds from Chile.</t>
  </si>
  <si>
    <d:r xmlns:d="http://schemas.openxmlformats.org/spreadsheetml/2006/main">
      <d:rPr>
        <d:sz val="11"/>
        <d:rFont val="Calibri"/>
      </d:rPr>
      <d:t xml:space="preserve">https://members.wto.org/crnattachments/2024/SPS/BRA/24_06806_00_x.pdf</d:t>
    </d:r>
  </si>
  <si>
    <t>Draft - Establishes phytosanitary requirements for the import of Camelina (Camelina Sativa) seeds from Germany</t>
  </si>
  <si>
    <t>This draft establishes phytosanitary requirements for the import of Camelina (Camelina Sativa) seeds from Germany.</t>
  </si>
  <si>
    <d:r xmlns:d="http://schemas.openxmlformats.org/spreadsheetml/2006/main">
      <d:rPr>
        <d:sz val="11"/>
        <d:rFont val="Calibri"/>
      </d:rPr>
      <d:t xml:space="preserve">https://members.wto.org/crnattachments/2024/SPS/BRA/24_06799_00_e.pdf
https://members.wto.org/crnattachments/2024/SPS/BRA/24_06799_00_x.pdf</d:t>
    </d:r>
  </si>
  <si>
    <t>Ukraine notifies that the draft Law of Ukraine "On Grapes and Viticulture Products" was adopted as the Law of Ukraine “On Grapes, Wine and Viticulture Products” No. 3928 of 22 August 2024.The Law was published on 04 October 2024.The Law will entry into force on 01 January 2026, except for paragraphs 1, 2, 4-10, 13-23 of subsection 1; subsections 2, 4, 6, 7, 8, 10 of clause 4; clauses 9 and 12 of Section XV “Final And Transitional Provisions” of the Law, which entered into force from the day following the day of publication of the Law.The Law of Ukraine "On Grapes and Grape Wine" No. 2662 of 16 June 2005 will become invalid as of the date of entry into force of the Law of Ukraine “On Grapes, Wine and Viticulture Products” No.3928 of 22 August 2024, i.e. as of 01 January 2026.The operation of the Viticultural and Winemaking Register shall also be established from 01 January 2026.</t>
  </si>
  <si>
    <t>grapes and viticulture products, grape wine </t>
  </si>
  <si>
    <d:r xmlns:d="http://schemas.openxmlformats.org/spreadsheetml/2006/main">
      <d:rPr>
        <d:sz val="11"/>
        <d:rFont val="Calibri"/>
      </d:rPr>
      <d:t xml:space="preserve">https://members.wto.org/crnattachments/2024/TBT/UKR/final_measure/24_06812_00_x.pdf</d:t>
    </d:r>
  </si>
  <si>
    <t>Ordinance  SDA/MAPA No. 1.186, of 4 October 2024 - Establishes the phytosanitary requirements for the importation of sunflower (Helianthus spp.)propagative material from any origin</t>
  </si>
  <si>
    <t>The phytosanitary requirements for the importation of sunflower (Helianthus spp.)propagative material (Category 4)  from any origin are hereby established.</t>
  </si>
  <si>
    <t>Propagative material (Category 4) of sunflower (Helianthus spp.)</t>
  </si>
  <si>
    <t>Plant health; Adoption/publication/entry into force of reg.; Plant diseases; Plant diseases; Plant health</t>
  </si>
  <si>
    <d:r xmlns:d="http://schemas.openxmlformats.org/spreadsheetml/2006/main">
      <d:rPr>
        <d:sz val="11"/>
        <d:rFont val="Calibri"/>
      </d:rPr>
      <d:t xml:space="preserve">https://www.in.gov.br/web/dou/-/portaria-sda/mapa-n-1.186-de-4-de-outubro-de-2024-588909283</d:t>
    </d:r>
  </si>
  <si>
    <t>Draft Resolution 1286, 6 October 2024</t>
  </si>
  <si>
    <t>This draft resolution  contains provisions on the assessment of the risk to human health of veterinary medicinal products, the maximum residue limits (MRL) of veterinary medicinal products in foods of animal origin and the analysis methods for the purposes of conformity assessment.This draft resolution will also be notified to the TBT Committee.</t>
  </si>
  <si>
    <d:r xmlns:d="http://schemas.openxmlformats.org/spreadsheetml/2006/main">
      <d:rPr>
        <d:sz val="11"/>
        <d:rFont val="Calibri"/>
      </d:rPr>
      <d:t xml:space="preserve">https://members.wto.org/crnattachments/2024/SPS/BRA/24_06794_00_x.pdf
Draft: https://antigo.anvisa.gov.br/documents/10181/6885014/CONSULTA+P%C3%9ABLICA+N%C2%BA+1286_GGALI.pdf/54b74b3b-f406-4c26-9c83-bcde68398533
Comment form: http://pesquisa.anvisa.gov.br/index.php/594795?lang=pt-BR</d:t>
    </d:r>
  </si>
  <si>
    <t>Draft Substitute Sanitary Technical Regulations for the sanitary registration, control and surveillance of medicines in general for human use</t>
  </si>
  <si>
    <t>Draft Substitute Sanitary Technical Regulations for the sanitary registration, control and surveillance of medicines in general for human use. New deadline for comments on the draft Substitute Sanitary Technical Regulations for the sanitary registration, control and surveillance of medicines in general for human use. In accordance with the provisions of the Agreement on Technical Barriers to Trade and Andean Community Decision No. 827, the Republic of Ecuador hereby advises that there is a new deadline for comments on the draft Substitute Sanitary Technical Regulations for the sanitary registration, control and surveillance of medicines in general for human use, notified in document G/TBT/N/ECU/513/Add.1 of 24 May 2024. In view of the above, there will be a comment period of 60 days as from the date of this notification. Text available from: Ministerio de Producción, Comercio Exterior, Inversiones y Pesca (Ministry of Production, Foreign Trade, Investment and Fisheries), Subsecretaría de Calidad (Under-Secretariat for Quality), Organismo Nacional de Notificación (National Notification Authority) TBT enquiry point: Primary enquiry point: Patricio Fernando Álvarez Chávez Secondary enquiry point: Cristian Eduardo Yépez Jaramillo Plataforma Gubernamental de Gestión Financiera; Av. Amazonas entre Unión Nacional de Periodistas y Alfonso Pereira, Piso 8, Bloque amarillo Quito EC170522 Tel.: (+593 2) 394 8760; Ext. 2254; Ext. 2252 Email: puntocontacto-otcecu@produccion.gob.ec; puntocontactoecu@gmail.com; palvarezc@produccion.gob.ec; cyepez@produccion.gob.ec Website: http://www.produccion.gob.ec __________</t>
  </si>
  <si>
    <t>The notified regulations are the draft "Substitute Sanitary Technical Regulations for the Substitute Regulations on Sanitary Registration for Medicines in General", which will replace the "Substitute Regulations on Sanitary Registration for Medicines in General", issued by Ministerial Decision No. 586.</t>
  </si>
  <si>
    <d:r xmlns:d="http://schemas.openxmlformats.org/spreadsheetml/2006/main">
      <d:rPr>
        <d:sz val="11"/>
        <d:rFont val="Calibri"/>
      </d:rPr>
      <d:t xml:space="preserve">https://members.wto.org/crnattachments/2024/TBT/ECU/24_06783_00_s.pdf</d:t>
    </d:r>
  </si>
  <si>
    <t>DEAS 1192: 2024, Dairy based desserts— Specification</t>
  </si>
  <si>
    <t xml:space="preserve">This Draft East African Standard specifies the requirements, sampling and test methods for dairy based desserts intended for human consumption._x000D_
This standard does not apply to the products covered in EAS 70.</t>
  </si>
  <si>
    <t>Ice cream and ice confectionery (ICS code(s): 67.100.40)</t>
  </si>
  <si>
    <t>210500 - Ice cream and other edible ice, whether or not containing cocoa</t>
  </si>
  <si>
    <t>67.100.40 - Ice cream and ice confectionery</t>
  </si>
  <si>
    <d:r xmlns:d="http://schemas.openxmlformats.org/spreadsheetml/2006/main">
      <d:rPr>
        <d:sz val="11"/>
        <d:rFont val="Calibri"/>
      </d:rPr>
      <d:t xml:space="preserve">https://members.wto.org/crnattachments/2024/TBT/RWA/24_06751_00_e.pdf</d:t>
    </d:r>
  </si>
  <si>
    <t>DRS 581-4: 2024, Alpha- cypermethrin pesticides — Specification — Part 4: Emulsifiable concentrate</t>
  </si>
  <si>
    <t>This Draft Rwanda Standard specifies the requirements, sampling and test methods for emulsifiable concentrate of alpha-cypermethrin used for agricultural purpose.</t>
  </si>
  <si>
    <t>Insecticides (ICS code(s): 65.100.10)</t>
  </si>
  <si>
    <d:r xmlns:d="http://schemas.openxmlformats.org/spreadsheetml/2006/main">
      <d:rPr>
        <d:sz val="11"/>
        <d:rFont val="Calibri"/>
      </d:rPr>
      <d:t xml:space="preserve">https://members.wto.org/crnattachments/2024/TBT/RWA/24_06742_00_e.pdf</d:t>
    </d:r>
  </si>
  <si>
    <t>DRS 590: 2024, Pesticides — Determination of total cypermethrin content</t>
  </si>
  <si>
    <t>This Draft Rwanda Standard gives the method for the determination of total cypermethrin content in the technical product by Gas chromatographic method. It is also applicable for formulated products.</t>
  </si>
  <si>
    <d:r xmlns:d="http://schemas.openxmlformats.org/spreadsheetml/2006/main">
      <d:rPr>
        <d:sz val="11"/>
        <d:rFont val="Calibri"/>
      </d:rPr>
      <d:t xml:space="preserve">https://members.wto.org/crnattachments/2024/TBT/RWA/24_06749_00_e.pdf</d:t>
    </d:r>
  </si>
  <si>
    <t>Acuerdo Ministerial No. 133 de fecha 16 de septiembre de 2024 Modificativa del Acuerdo Ministerial No. 39, de fecha 9 de abril de 2024, mediante el cual se acordó "Declarar Estado de Alerta Zoosanitaria frente al riesgo de introducción y la internación del GBG en todo el territorio nacional" (Ministerial Decision No. 133, dated 16 September 2024, amending Ministerial Decision No. 39, dated 9 April 2024, "issuing an animal health alert throughout national territory in view of the risk of introduction and entry of NWS") El Salvador hereby advises that Ministerial Decision No. 39, published in the Official Journal Volume No. 443, No. 67 of 11 April 2024, issuing an animal health alert in view of the threat of New World screwworm, is being amended pursuant to Ministerial Decision No. 133, to be published in Official Journal Volume No. 445, No. 189 of 4 October 2024. https://members.wto.org/crnattachments/2024/SPS/SLV/24_06731_00_s.pdf</t>
  </si>
  <si>
    <t>Bovinos, Porcinos, Ovinos, Caprinos, Equinos, Caninos y Felinos vivos, así como otras especies de sangre caliente que se determine que representan riesgo sanitario.</t>
  </si>
  <si>
    <t>Human health; Animal health; Animal diseases; Modification of content/scope of regulation; Pests; Animal diseases; Animal health; Human health</t>
  </si>
  <si>
    <d:r xmlns:d="http://schemas.openxmlformats.org/spreadsheetml/2006/main">
      <d:rPr>
        <d:sz val="11"/>
        <d:rFont val="Calibri"/>
      </d:rPr>
      <d:t xml:space="preserve">https://members.wto.org/crnattachments/2024/SPS/SLV/24_06731_00_s.pdf</d:t>
    </d:r>
  </si>
  <si>
    <t>Reglamento Técnico Ecuatoriano RTE 237 (1R) "Cementos Asfálticos, Asfaltos Diluidos y Emulsiones Asfálticas" (First revision (1R) of Ecuadorian Technical Regulation (RTE) No. 237 "Asphalt cements, cutback asphalts and asphalt emulsions")</t>
  </si>
  <si>
    <t xml:space="preserve">First revision (1R) of Ecuadorian Technical Regulation (RTE) No. 237 "Asphalt cements, cutback asphalts and asphalt emulsions"  1 This information can be provided by including a website address, a PDF attachment, or other information on where the text of the final measure/change to the measure/interpretative guidance can be obtained. G/TBT/N/ECU/532/Add.1 - 2 -   The Republic of Ecuador hereby advises that the first revision (1R) of Ecuadorian Technical Regulation (RTE) No. 237 "Asphalt cements, cutback asphalts and asphalt emulsions" will enter into force on 4 April 2025. It should be noted that, with respect to this Regulation, Ecuador has followed all the transparency and notification guidelines determined by the WTO. Thus, on 6 June 2024, in document G/TBT/N/ECU/532, the draft first revision (1R) of Ecuadorian Technical Regulation (RTE) No. 237 "Asphalt cements, cutback asphalts and asphalt emulsions" was notified for 60 days on the WTO ePing platform for comments. Ministerio de Producción, Comercio Exterior, Inversiones y Pesca, MPCEIP (Ministry of Production, Foreign Trade, Investment and Fisheries) Subsecretaría de la Calidad (Under-Secretariat for Quality) TBT enquiry point: Primary enquiry point: Patricio Fernando Alvarez Chávez Secondary enquiry point: Cristian Eduardo Yépez Jaramillo Plataforma Gubernamental de Gestión Financiera; Av. Amazonas entre Unión Nacional de Periodistas y Alfonso Pereira Piso 8 Bloque amarillo Quito EC170522 Tel.: (+593 2) 394 8760; Ext. 2254; Ext. 2252 Email: puntocontacto-otcecu@produccion.gob.ec; puntocontactoecu@gmail.com; palvarezc@produccion.gob.ec; cyepez@produccion.gob.ec Website: http://www.produccion.gob.ec __________</t>
  </si>
  <si>
    <t>Betunes y asfaltos naturales; asfaltitas y rocas asfálticas (Código(s) del SA: 271490)</t>
  </si>
  <si>
    <t>271490 - Bitumen and asphalt, natural; asphaltites and asphaltic rocks; 271490 - Bitumen and asphalt, natural; asphaltites and asphaltic rocks</t>
  </si>
  <si>
    <t>93.080.20 - Road construction materials; 93.080.20 - Road construction materials</t>
  </si>
  <si>
    <d:r xmlns:d="http://schemas.openxmlformats.org/spreadsheetml/2006/main">
      <d:rPr>
        <d:sz val="11"/>
        <d:rFont val="Calibri"/>
      </d:rPr>
      <d:t xml:space="preserve">https://members.wto.org/crnattachments/2024/TBT/ECU/24_06686_00_s.pdf</d:t>
    </d:r>
  </si>
  <si>
    <t>Sulfentrazone; Pesticide Tolerances - Proposed Rule</t>
  </si>
  <si>
    <t xml:space="preserve">EPA is proposing to establish tolerances for residues of the 
herbicide sulfentrazone in or on Corn, pop, grain at 0.15 parts per 
million (ppm) and Corn, pop, stover at 0.3 ppm. EPA had previously 
registered the use of sulfentrazone on field corn and established 
tolerances on Corn, field, grain at 0.15 ppm, and Corn, field, stover 
at 0.30 ppm. As part of that process, the use on popcorn was added to 
the sulfentrazone label (same use pattern as field corn), but, in 
error, separate tolerances on Corn, pop, grain and Corn, pop, stover 
were not established. EPA is now proposing to establish the tolerances 
required to support the use on popcorn and rectify this oversight.</t>
  </si>
  <si>
    <t>Corn, pop, grain and stover</t>
  </si>
  <si>
    <d:r xmlns:d="http://schemas.openxmlformats.org/spreadsheetml/2006/main">
      <d:rPr>
        <d:sz val="11"/>
        <d:rFont val="Calibri"/>
      </d:rPr>
      <d:t xml:space="preserve">https://www.govinfo.gov/content/pkg/FR-2024-10-03/html/2024-22809.htm</d:t>
    </d:r>
  </si>
  <si>
    <t xml:space="preserve">Addition of Certain Per- and Polyfluoroalkyl Substances (PFAS) to 
the Toxics Release Inventory (TRI)</t>
  </si>
  <si>
    <t>Proposed rule - The Environmental Protection Agency (EPA) is proposing to add 16 individually listed per- and polyfluoroalkyl substances (PFAS) and 15 PFAS categories to the Toxics Release Inventory (TRI) list of toxic chemicals subject to reporting under the Emergency Planning and Community Right-to-Know Act (EPCRA) and the Pollution Prevention Act (PPA) to comply with the National Defense Authorization Act for Fiscal Year 2020 (NDAA). EPA also addresses how PFAS categories should be treated. Separately, EPA discusses what events may trigger the automatic addition of a PFAS to the TRI pursuant to the NDAA. This discussion does not propose to list chemicals to TRI pursuant to the NDAA, but rather describes what EPA documents and activities involving PFAS would trigger an automatic addition under the NDAA.</t>
  </si>
  <si>
    <t>Per- and polyfluoroalkyl substances;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</si>
  <si>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</si>
  <si>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d:r xmlns:d="http://schemas.openxmlformats.org/spreadsheetml/2006/main">
      <d:rPr>
        <d:sz val="11"/>
        <d:rFont val="Calibri"/>
      </d:rPr>
      <d:t xml:space="preserve">https://members.wto.org/crnattachments/2024/TBT/USA/24_06694_00_e.pdf</d:t>
    </d:r>
  </si>
  <si>
    <t xml:space="preserve">The U.S. Environmental Protection Agency (EPA) is promulgating a regulation under the Vessel Incidental Discharge Act (VIDA) that establishes Federal standards of performance for marine pollution control devices for discharges incidental to the normal operation of primarily non- Armed Forces and non-recreational vessels 79 feet in length and above into the waters of the United States or the waters of the contiguous zone. The Federal standards of performance were developed in coordination with the U.S. Coast Guard (USCG) and in consultation with interested Governors. The final standards, once made final, effective, and enforceable through corresponding USCG regulations addressing implementation, compliance, and enforcement, will control the discharge of pollutants from vessels described above and repeal certain existing Federal, State, and local vessel discharge requirements, thus streamlining regulation of such vessel incidental discharges. EPA is also promulgating procedures states must follow if they choose to petition EPA to require the use of an emergency best management practice to address aquatic nuisance species (ANS) or water quality concerns ("emergency order"), to review any standard of performance, regulation, or policy, to request additional requirements with respect to discharges in the Great Lakes, or to apply to EPA to prohibit one or more types of vessel discharges regulated by this rule into specified waters to provide greater environmental protection.The effective date of this rule is 8 November 2024. The Federal standards of performance, however, become effective beginning on the date upon which the regulations promulgated by the Secretary pursuant to CWA section 312(p)(5) governing the implementation, compliance, and enforcement of the Federal standards of performance become final, effective, and enforceable. Per CWA section 312(p)(3)(c), as of that date, the requirements of the VGP and all regulations promulgated by the Secretary pursuant to section 1101 of the NANPCA (16 U.S.C. 4711) (as in effect on 3 December 2018), including the regulations contained in subparts C and D of 33 CFR part 151 and 46 CFR 162.060 (as in effect on 3 December 2018), shall be deemed repealed and have no force or effect. Similarly, as of that same date, any CWA section 401 certification requirement in Part 6 of the VGP, shall be deemed repealed and have no force or effect.89 Federal Register (FR) 82074, Title 40 Code of Federal Regulations (CFR) Part 139:_x000D_
https://www.govinfo.gov/content/pkg/FR-2024-10-09/html/2024-22013.htm_x000D_
https://www.govinfo.gov/content/pkg/FR-2024-10-09/pdf/2024-22013.pdf_x000D_
This final rule and previous actions notified under the symbol G/TBT/N/USA/1663 are identified by Docket Number EPA-HQ-OW-2019-0482. The Docket Folder is available on Regulations.gov at https://www.regulations.gov/docket/EPA-HQ-OW-2019-0482/document and provides access to primary and supporting documents as well as comments received. Documents are also accessible from Regulations.gov by searching the Docket Number. </t>
  </si>
  <si>
    <t>03.120 - Quality; 03.120 - Quality; 13.030 - Wastes; 13.030 - Wastes; 13.060 - Water quality; 13.060 - Water quality; 47.020 - Shipbuilding and marine structures in general; 47.020 - Shipbuilding and marine structures in general</t>
  </si>
  <si>
    <d:r xmlns:d="http://schemas.openxmlformats.org/spreadsheetml/2006/main">
      <d:rPr>
        <d:sz val="11"/>
        <d:rFont val="Calibri"/>
      </d:rPr>
      <d:t xml:space="preserve">https://members.wto.org/crnattachments/2024/TBT/USA/final_measure/24_06720_00_e.pdf</d:t>
    </d:r>
  </si>
  <si>
    <t>The Egyptian Standard ES 3571 for "Footwear and Its Parts" (partial amendment).</t>
  </si>
  <si>
    <t>Products covered: Footwear (ICS 61.060)This addendum concerns the notification of the Ministerial Decree No.444/2024 (1 page, in Arabic) that gives the producers and importers a six-month transitional period to abide by the Egyptian Standard ES 3571 for "Footwear and Its Parts" (16 pages, in Arabic) (partial amendment in 1 page, in Arabic).It should be noted that the Ministerial Decrees No. 477/2018 (3 pages, in Arabic) which was formerly notified in G/TBT/N/EGY/194 dated 4 September 2018, the Ministerial Decrees No. 171/2020 (2 pages, in Arabic) which was formerly notified in G/TBT/N/EGY/194/Add.2 dated 4 June 2020, mandated among others the earlier versions of this Standard.Worth mentioning is that this standard has been partially modified in the following:- Item (2) Complementary specifications: add item No. (2/31) ISO 18454: Footwear Standard atmospheres for conditioning and testing of footwear and components for footwear. -  Item (6) sample collection: add item No. (4/6) conditioning that Sample are conditioned according to ISO 18454. - Table (1) as the following :(tests (natural) -part (sole) - property (Coefficient Of fraction)- value ( 4.5 ≤) - material (leather).- Item (9/1) Data on the unit on pair of shoes: to be (the following information must be clearly, permanently and indelibly marked on the unit). - Add item (9/2) Data of the package (The Eva slipper is exempt from having a primary package provided that the two slipper are connected to each other in suitable and non-separable manner easily). Worth mentioning is that this standard complies with:JIS S 5050: Leather shoes.United Nations Industrial Development Organization (UNIDO) "Acceptable Quality Standards in the Leather and footwear industry"Producers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</si>
  <si>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ICS: (59.140) Leather and Leather products.</t>
  </si>
  <si>
    <t>59.140 - Leather technology; 59.140 - Leather technology</t>
  </si>
  <si>
    <t>DRS 580-2: 2024, Cypermethrin Pesticides — Specification — Part 2: Emulsifiable concentrates (EC)</t>
  </si>
  <si>
    <t>This Draft Rwanda Standard specifies the requirements for the emulsifiable concentrates pesticides based on cypermethrin for plant protection purpose.</t>
  </si>
  <si>
    <d:r xmlns:d="http://schemas.openxmlformats.org/spreadsheetml/2006/main">
      <d:rPr>
        <d:sz val="11"/>
        <d:rFont val="Calibri"/>
      </d:rPr>
      <d:t xml:space="preserve">https://members.wto.org/crnattachments/2024/TBT/RWA/24_06735_00_e.pdf</d:t>
    </d:r>
  </si>
  <si>
    <t>DRS 582: 2024, Guidelines for the production of organic fertilizer and soils amendments from municipal solid wastes</t>
  </si>
  <si>
    <t xml:space="preserve">This Draft Rwanda Standard provides the guidelines for the production of organic fertilizers and organic soil amendments from municipal solid wastes in order to maintain the sustainability of agro-ecosystems land._x000D_
This document covers the production of organic fertilizer and organic soil amendments from municipal solid wastes using composting or vermicomposting technology. It focuses on the selection of raw materials, production processes, quality control and documentation to ensure consistency, sustainability and consumer trust._x000D_
It also covers the organizational and practical advice on the management of the human, technical and administrative factors affecting the quality of final product.</t>
  </si>
  <si>
    <t>Fertilizers (ICS code(s): 65.080)</t>
  </si>
  <si>
    <d:r xmlns:d="http://schemas.openxmlformats.org/spreadsheetml/2006/main">
      <d:rPr>
        <d:sz val="11"/>
        <d:rFont val="Calibri"/>
      </d:rPr>
      <d:t xml:space="preserve">https://members.wto.org/crnattachments/2024/TBT/RWA/24_06744_00_e.pdf</d:t>
    </d:r>
  </si>
  <si>
    <t>DRS 581-1: 2024, Alpha- cypermethrin Pesticides — Specification — Part 1: Technical material</t>
  </si>
  <si>
    <t>This Draft Rwanda Standard specifies the requirements for the technical material of alpha-cypermethrin used for agricultural purpose.</t>
  </si>
  <si>
    <d:r xmlns:d="http://schemas.openxmlformats.org/spreadsheetml/2006/main">
      <d:rPr>
        <d:sz val="11"/>
        <d:rFont val="Calibri"/>
      </d:rPr>
      <d:t xml:space="preserve">https://members.wto.org/crnattachments/2024/TBT/RWA/24_06739_00_e.pdf</d:t>
    </d:r>
  </si>
  <si>
    <t>Part 2, Cyber Security Bill 2024</t>
  </si>
  <si>
    <t>The proposed Australian Cyber Security Bill establishes the power for the relevant Minister to make mandatory security standards for smart devices, also known as Internet of Things (IoT) devices, under Ministerial rules. To ensure international alignment, Australia will define these devices as relevant connectable products, consistent with the UK definition per section 5 of the Product Safety and Telecommunications Act2022. Under the Cyber Security Bill, responsible entities will be required to manufacture and/or supply smart devices in Australia in compliance with the relevant security standard for the specified device. Responsible entities will be required to provide a statement of compliance if requested by the Secretary of the Department of Home Affairs. Standards made under Ministerial rules could apply to all devices that meet the definition of relevant connectable product, or be limited to a subset, type, or class of devices, which will be defined in the relevant security standard under rules. All security standards introduced as rules under the proposed Cyber Security Bill will be subject to a 28 day consultation period prior to being introduced under this Bill. </t>
  </si>
  <si>
    <t>Smart devices (also known as internet-of-things devices) defined as relevant connectable products in the proposed Cyber Security Bill.Some examples include, but are not limited to, the following products and their HS codes (permitted they are an internet or network connectable version of that product):Smart TV – 852872Wireless headphones – 851830Smart LED light bulbs – 853952Baby monitors – 852560Connected doorbells – 853180Smart vacuum cleaner - 850811</t>
  </si>
  <si>
    <t>853952 - Light-emitting diode "LED" lamps; 853180 - Electric sound or visual signalling apparatus (excl. indicator panels with liquid crystal devices or light emitting diodes, burglar or fire alarms and similar apparatus and apparatus for cycles, motor vehicles and traffic signalling); 852872 - Reception apparatus for television, colour, whether or not incorporating radio-broadcast receivers or sound or video recording or reproducing apparatus, designed to incorporate a video display or screen; 852560 - Transmission apparatus for radio-broadcasting or television, incorporating reception apparatus; 851830 - Headphones and earphones, whether or not combined with microphone, and sets consisting of a microphone and one or more loudspeakers (excl. telephone sets, hearing aids and helmets with built-in headphones, whether or not incorporating a microphone); 850811 - Vacuum cleaners, incl. dry cleaners and wet vacuum cleaners, with self-contained electric motor, power &lt;= 1 500 W and having a dust bag or other receptacle capacity &lt;= 20 l</t>
  </si>
  <si>
    <d:r xmlns:d="http://schemas.openxmlformats.org/spreadsheetml/2006/main">
      <d:rPr>
        <d:sz val="11"/>
        <d:rFont val="Calibri"/>
      </d:rPr>
      <d:t xml:space="preserve">https://members.wto.org/crnattachments/2024/TBT/AUS/24_06727_00_e.pdf
https://www.aph.gov.au/Parliamentary_Business/Bills_Legislation/Bills_Search_Results/Result?bId=r7250</d:t>
    </d:r>
  </si>
  <si>
    <t xml:space="preserve">Energy Conservation Program for Appliance Standards: 
Certification Requirements, Labeling Requirements, and Enforcement 
Provisions for Certain Consumer Products and Commercial Equipment</t>
  </si>
  <si>
    <t xml:space="preserve">The U.S. Department of Energy ("DOE") is publishing a final 
rule to establish and amend the certification provisions, labeling 
requirements, and enforcement provisions for specific types of consumer 
products and commercial and industrial equipment, as described in 
sections II and III of this final rule. DOE is establishing and making 
amendments to the certification requirements, labeling requirements, 
and enforcement provisions for these products and equipment to ensure 
reporting that is consistent with currently applicable energy 
conservation standards and test procedures and to ensure DOE has the 
information necessary to determine the appropriate classification of 
products for the application of standards.&gt;The effective date of this rule is 23 December 2024. This rule 
establishes new and amended certification and labeling requirements. 
For products or equipment for which this rule establishes the initial 
certification regulations for certifying compliance with new or amended 
standards, manufacturers must submit the initial certification report 
for basic models distributed in commerce beginning 7 May 2025. For 
basic models with existing certification regulations, the amendments to 
the reporting requirements for certifying compliance with existing 
standards will be mandatory beginning with the annual certification 
report submitted on or after 7 May 2025.89 Federal Register (FR) 81994, Title 10 Code of Federal Regulations (CFR) Parts 429 and 431_x000D_
https://www.govinfo.gov/content/pkg/FR-2024-10-09/html/2024-21950.htm_x000D_
https://www.govinfo.gov/content/pkg/FR-2024-10-09/pdf/2024-21950.pdfThis final rule and the notice of proposed rulemaking; announcement of public meeting notified as G/TBT/N/USA/2053 are identified by Docket Number EERE-2023-BT-CE-0001. The Docket Folder is available on Regulations.gov at https://www.regulations.gov/docket/EERE-2023-BT-CE-0001/document and provides access to primary and supporting documents as well as comments received. Documents are also accessible from Regulations.gov by searching the Docket Number. _x000D_
</t>
  </si>
  <si>
    <t>Appliance standards; Quality (ICS code(s): 03.120); Environmental protection (ICS code(s): 13.020); Ventilators. Fans. Air-conditioners (ICS code(s): 23.120); Domestic electrical appliances in general (ICS code(s): 97.030); Kitchen equipment (ICS code(s): 97.040); Domestic, commercial and industrial heating appliances (ICS code(s): 97.100); Miscellaneous domestic and commercial equipment (ICS code(s): 97.180)</t>
  </si>
  <si>
    <t>03.120 - Quality; 13.020 - Environmental protection; 23.120 - Ventilators. Fans. Air-conditioners; 97.030 - Domestic electrical appliances in general; 97.040 - Kitchen equipment; 97.100 - Domestic, commercial and industrial heating appliances; 97.180 - Miscellaneous domestic and commercial equipment; 03.120 - Quality; 13.020 - Environmental protection; 23.120 - Ventilators. Fans. Air-conditioners; 97.030 - Domestic electrical appliances in general; 97.040 - Kitchen equipment; 97.100 - Domestic, commercial and industrial heating appliances; 97.180 - Miscellaneous domestic and commercial equipment</t>
  </si>
  <si>
    <d:r xmlns:d="http://schemas.openxmlformats.org/spreadsheetml/2006/main">
      <d:rPr>
        <d:sz val="11"/>
        <d:rFont val="Calibri"/>
      </d:rPr>
      <d:t xml:space="preserve">https://members.wto.org/crnattachments/2024/TBT/USA/final_measure/24_06721_00_e.pdf</d:t>
    </d:r>
  </si>
  <si>
    <t>DRS 583: 2024, Aluminium and aluminium alloys — Bare foil for food packaging — Specification</t>
  </si>
  <si>
    <t xml:space="preserve">This Draft Rwanda Standard specifies requirements, sampling and test methods for annealed aluminium and aluminium alloy bare foil for food packaging._x000D_
It is applicable to 0.011 mm (11μm) and 0.0750 mm (75.0μm) of thickness.</t>
  </si>
  <si>
    <t>Aluminium and aluminium alloys (ICS code(s): 77.120.10)</t>
  </si>
  <si>
    <t>77.120.10 - Aluminium and aluminium alloys</t>
  </si>
  <si>
    <d:r xmlns:d="http://schemas.openxmlformats.org/spreadsheetml/2006/main">
      <d:rPr>
        <d:sz val="11"/>
        <d:rFont val="Calibri"/>
      </d:rPr>
      <d:t xml:space="preserve">https://members.wto.org/crnattachments/2024/TBT/RWA/24_06745_00_e.pdf</d:t>
    </d:r>
  </si>
  <si>
    <t>DUS DARS 1293:2024, Insect products for animal feeds — Code of good practice in production, processing and use in animal feeding, First editionNote: This Draft Uganda Standard was also notified to the SPS Committee.</t>
  </si>
  <si>
    <t>This Draft Uganda Standard covers insect production, processing, placing on the market and use in animal feeding.</t>
  </si>
  <si>
    <t>Insects, fit for human consumption (HS code(s): 041010); Other standards related to farming and forestry (ICS code(s): 65.020.99)</t>
  </si>
  <si>
    <t>041010 - Insects, fit for human consumption</t>
  </si>
  <si>
    <t>Consumer information, labelling (TBT); Prevention of deceptive practices and consumer protection (TBT); Quality requirements (TBT); Harmonization (TBT); Cost saving and productivity enhancement (TBT)</t>
  </si>
  <si>
    <d:r xmlns:d="http://schemas.openxmlformats.org/spreadsheetml/2006/main">
      <d:rPr>
        <d:sz val="11"/>
        <d:rFont val="Calibri"/>
      </d:rPr>
      <d:t xml:space="preserve">https://members.wto.org/crnattachments/2024/TBT/UGA/24_06696_00_e.pdf</d:t>
    </d:r>
  </si>
  <si>
    <t>Hazard Communication Standard</t>
  </si>
  <si>
    <t xml:space="preserve">OSHA is correcting several inadvertent errors in its Hazard 
Communication Standard (HCS) which were published in the Federal 
Register on 20 May 2024 (notified as G/TBT/N/USA/1697/Add.4). The agency has identified several errors in 
the regulatory text and appendices to the HCS which pertain to the 
classification of hazardous chemicals and information presented on 
labels and Safety Data Sheets (SDSs). The agency believes these errors, 
although minor and primarily typographical in nature, should be 
addressed expeditiously to avoid confusion or unnecessary costs in the 
regulated community due to incorporation of errors on labels and SDSs. 
OSHA is continuing its review of the regulatory text and will issue 
another correction document to address additional minor errors at a 
later date.&gt;9 October 202489 Federal Register (FR) 81829, Title 29 Code of Federal Regulations (CFR) Part 1910_x000D_
https://www.govinfo.gov/content/pkg/FR-2024-10-09/html/2024-23144.htm_x000D_
https://www.govinfo.gov/content/pkg/FR-2024-10-09/pdf/2024-23144.pdfThis final rule; correction and technical amendment and previous actions notified under the symbol G/TBT/N/USA/1697 are identified by Docket Number OSHA-2019-0001. The Docket Folder is available on Regulations.gov at https://www.regulations.gov/docket/OSHA-2019-0001/document and provides access to primary and supporting documents as well as comments received. Documents are also accessible from Regulations.gov by searching the Docket Number.</t>
  </si>
  <si>
    <t>Chemicals</t>
  </si>
  <si>
    <t>29 - ORGANIC CHEMICALS; 29 - ORGANIC CHEMICALS; 29 - ORGANIC CHEMICALS</t>
  </si>
  <si>
    <t>13.020 - Environmental protection; 13.020 - Environmental protection; 13.020 - Environmental protection; 13.100 - Occupational safety. Industrial hygiene; 13.100 - Occupational safety. Industrial hygiene; 13.100 - Occupational safety. Industrial hygiene; 71.020 - Production in the chemical industry; 71.020 - Production in the chemical industry; 71.020 - Production in the chemical industry; 71.100 - Products of the chemical industry; 71.100 - Products of the chemical industry; 71.100 - Products of the chemical industry</t>
  </si>
  <si>
    <d:r xmlns:d="http://schemas.openxmlformats.org/spreadsheetml/2006/main">
      <d:rPr>
        <d:sz val="11"/>
        <d:rFont val="Calibri"/>
      </d:rPr>
      <d:t xml:space="preserve">https://members.wto.org/crnattachments/2024/TBT/USA/24_06718_00_e.pdf</d:t>
    </d:r>
  </si>
  <si>
    <t>Madagascar</t>
  </si>
  <si>
    <t>Projet de règlement technique sur la vanille destiné à la commercialisation sur la marché local et / ou à l'exportation (Draft technical regulations for vanilla to be marketed on the domestic market and/or for export) (12 pages, in French)</t>
  </si>
  <si>
    <t>Draft technical regulations for vanilla to be marketed on the domestic market and/or for export (12 pages, in French). This draft Order concerns all forms of vanilla (pods, seeds and powder) belonging to the species Vanilla fragrans (Salisbury) Ames syn. Vanilla planifolia Andrews. It establishes the physico-chemical requirements to be met by each of these forms of vanilla, including water content, vanillin content and pod length. It also provides guidance on packaging, packing, storage, sampling and controls. The list of applicable definitions and the test methods are contained in the annexes. G/TBT/N/MDG/1 - 2 -</t>
  </si>
  <si>
    <t>Coffee, tea, maté and spices (HS code: 09); Vanilla (HS code: 09051000): General considerations. Terminology. Standardization. Documentation (ICS code: 01); Agriculture (ICS code: 65)</t>
  </si>
  <si>
    <t>01 - Generalities. Terminology. Standardization. Documentation; 65 - Agriculture</t>
  </si>
  <si>
    <t>Consumer information, labelling (TBT); Prevention of deceptive practices and consumer protection (TBT); Quality requirements (TBT); Harmonization (TBT); Reducing trade barriers and facilitating trade (TBT)</t>
  </si>
  <si>
    <d:r xmlns:d="http://schemas.openxmlformats.org/spreadsheetml/2006/main">
      <d:rPr>
        <d:sz val="11"/>
        <d:rFont val="Calibri"/>
      </d:rPr>
      <d:t xml:space="preserve">https://members.wto.org/crnattachments/2024/TBT/MDG/24_06725_00_f.pdf</d:t>
    </d:r>
  </si>
  <si>
    <t>Resolución 1018 del 22 de agosto de 2024 del Ministerio de Comercio, Industria y Turismo "Por la cual se deroga la Resolución No. 0942 del 16 de mayo 2018 "Por la cual se expide el Reglamento Técnico para Ollas de Presión de uso doméstico que se importen o produzcan nacionalmente para su comercialización en Colombia" (Ministry of Commerce, Industry and Tourism Resolution No. 1018 of 22 August 2024, repealing Resolution No. 0942 of 16 May 2018 issuing the Technical Regulation applicable to household pressure cookers imported into or produced in Colombia for marketing in the country)</t>
  </si>
  <si>
    <t>The Republic of Colombia hereby advises that Ministry of Trade, Industry and Tourism Resolution No. 1018 of 22 August 2024, repealing Resolution No. 0942 of 16 May 2018 issuing the Technical Regulation applicable to household pressure cookers imported into or produced in Colombia for marketing in the country, was published in Official Journal No. 52.857 of 23 August 2024. __________</t>
  </si>
  <si>
    <t>Pressure cookers (7323.93.10.00 and 7615.10.10.00)</t>
  </si>
  <si>
    <t>761510 - Table, kitchen or other household articles and parts thereof; pot scourers and scouring or polishing pads, gloves and the like; 732393 - 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 761510 - Table, kitchen or other household articles and parts thereof; pot scourers and scouring or polishing pads, gloves and the like; 732393 - 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t>
  </si>
  <si>
    <t>97.040.60 - Cookware, cutlery and flatware; 97.040.60 - Cookware, cutlery and flatware</t>
  </si>
  <si>
    <d:r xmlns:d="http://schemas.openxmlformats.org/spreadsheetml/2006/main">
      <d:rPr>
        <d:sz val="11"/>
        <d:rFont val="Calibri"/>
      </d:rPr>
      <d:t xml:space="preserve">https://members.wto.org/crnattachments/2024/TBT/COL/24_06723_00_s.pdf
https://members.wto.org/crnattachments/2024/TBT/COL/24_06723_01_s.pdf</d:t>
    </d:r>
  </si>
  <si>
    <t>Segunda Revisión del Reglamento Técnico Ecuatoriano RTE 061 (2R) "Pinturas" (Second revision (2R) of Ecuadorian Technical Regulation RTE No. 061: "Paints")</t>
  </si>
  <si>
    <t xml:space="preserve">Ecuadorian Technical Regulation RTE No. 061 (2R): "Paints" The Republic of Ecuador hereby advises that Ecuadorian Technical Regulation (RTE) No. 061 (2R): "Paints" will enter into force on 4 April 2025.  1 This information can be provided by including a website address, a PDF attachment, or other information on where the text of the final measure/change to the measure/interpretative guidance can be obtained. G/TBT/N/ECU/529/Add.1 - 2 -   It should be noted that, with respect to this Regulation, Ecuador has followed all the transparency and notification guidelines determined by the WTO. Thus, on 4 June 2024, in document G/TBT/N/ECU/529, the draft second revision (2R) of Ecuadorian Technical Regulation (RTE) No. 061: "Paints" was notified for 60 days on the WTO ePing platform for comments. No comments were received during this period. Ministerio de Producción, Comercio Exterior, Inversiones y Pesca, MPCEIP (Ministry of Production, Foreign Trade, Investment and Fisheries) Subsecretaría de la Calidad (Under-Secretariat for Quality) TBT enquiry point: Primary enquiry point: Patricio Fernando Alvarez Chávez Secondary enquiry point: Cristian Eduardo Yépez Jaramillo Plataforma Gubernamental de Gestión Financiera; Av. Amazonas entre Unión Nacional de Periodistas y Alfonso Pereira Piso 8 Bloque amarillo Quito EC170522 Tel.: (+593 2) 394 8760; Ext. 2254; Ext. 2252 Email: puntocontacto-otcecu@produccion.gob.ec; puntocontactoecu@gmail.com; palvarezc@produccion.gob.ec; cyepez@produccion.gob.ec Website: http://www.produccion.gob.ec __________</t>
  </si>
  <si>
    <t>Pinturas y barnices a base de polímeros sintéticos o naturales modificados, dispersos o disueltos en un medio no acuoso; disoluciones en disolventes orgánicos volátiles de productos citados en las partidas 3901 a 3913, con una proporción de disolvente &gt; 50% del peso de la disolución (exc. disoluciones a base de poliésteres o de polímeros acrílicos o vinílicos, así como disoluciones en colodiones) (Código(s) del SA: 320890); Pinturas y barnices a base de polímeros sintéticos o naturales modificados, dispersos o disueltos en un medio acuoso (Código(s) del SA: 3209); Las demás pinturas y barnices; pigmentos al agua preparados de los tipos utilizados para el acabado del cuero (Código(s) del SA: 3210); Pigmentos, incl. el polvo y laminillas metálicos, dispersos en medios no acuosos, líquidos o en pasta, de los tipos utilizados para la fabricación de pinturas; hojas para el marcado a fuego de los tipos utilizados para encuadernaciones o guarniciones interiores de sombreros; tintes y demás materias colorantes, n.c.o.p., presentados en formas o envases para la venta al por menor (Código(s) del SA: 3212); Colores para pintura artística, la enseñanza, la pintura de carteles, para matizar o para entretenimiento y colores simil., en pastillas, tubos, botes, frascos, o en formas o envases simil. (Código(s) del SA: 3213)</t>
  </si>
  <si>
    <t>3209 - Paints and varnishes, incl. enamels and lacquers, based on synthetic polymers or chemically modified natural polymers, dispersed or dissolved in an aqueous medium; 320890 - 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 3210 - Other paints and varnishes (including enamels, lacquers and distempers); prepared water pigments of a kind used for finishing leather.; 3212 - Pigments, incl. metallic powders and flakes, dispersed in non-aqueous media, in liquid or paste form, of a kind used in the manufacture of paints; stamping foils of a kind used in the printing of book bindings or hatband leather; colorants and other colouring matter, n.e.s. put up for retail sale; 3213 - Artist's, student's or signboard painter's colours, modifying tints, amusement colours and the like, in tablets, tubes, jars, bottles, pans or similar packages; 3212 - Pigments, incl. metallic powders and flakes, dispersed in non-aqueous media, in liquid or paste form, of a kind used in the manufacture of paints; stamping foils of a kind used in the printing of book bindings or hatband leather; colorants and other colouring matter, n.e.s. put up for retail sale; 3210 - Other paints and varnishes (including enamels, lacquers and distempers); prepared water pigments of a kind used for finishing leather.; 3209 - Paints and varnishes, incl. enamels and lacquers, based on synthetic polymers or chemically modified natural polymers, dispersed or dissolved in an aqueous medium; 320890 - 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 3213 - Artist's, student's or signboard painter's colours, modifying tints, amusement colours and the like, in tablets, tubes, jars, bottles, pans or similar packages</t>
  </si>
  <si>
    <t>87.040 - Paints and varnishes; 87.040 - Paints and varnishes</t>
  </si>
  <si>
    <d:r xmlns:d="http://schemas.openxmlformats.org/spreadsheetml/2006/main">
      <d:rPr>
        <d:sz val="11"/>
        <d:rFont val="Calibri"/>
      </d:rPr>
      <d:t xml:space="preserve">https://members.wto.org/crnattachments/2024/TBT/ECU/24_06689_00_s.pdf</d:t>
    </d:r>
  </si>
  <si>
    <t>DRS 578: 2024, Pesticide — Guidelines on good labelling practices</t>
  </si>
  <si>
    <t>This Draft Rwanda Standard specifies the safety precautions and related matters, on the label or accompanying instructions of pesticide products.</t>
  </si>
  <si>
    <t>(ICS code(s): 65.100.01)</t>
  </si>
  <si>
    <t>65.100.01 - Pesticides and other agrochemicals in general</t>
  </si>
  <si>
    <d:r xmlns:d="http://schemas.openxmlformats.org/spreadsheetml/2006/main">
      <d:rPr>
        <d:sz val="11"/>
        <d:rFont val="Calibri"/>
      </d:rPr>
      <d:t xml:space="preserve">https://members.wto.org/crnattachments/2024/TBT/RWA/24_06732_00_e.pdf</d:t>
    </d:r>
  </si>
  <si>
    <t>DUS DARS 1292:2024, Edible insects— Good farming and wild harvesting practices, First EditionNote: This Draft Uganda Standard was also notified to the SPS Committee.</t>
  </si>
  <si>
    <t>This Draft Uganda Standard provides the requirements for sustainable establishment and operation of wild harvesting and/or domesticated insect farming for human and animal consumption. Annex A provides a general guidance for farming and wild harvesting of insects. The draft standard is not applicable to post-harvest handling and processing of insects into value added products. The draft standard is not applicable to post-harvest handling and processing of insects into value added products.</t>
  </si>
  <si>
    <t>Insects, fit for human consumption (HS code(s): 041010); (ICS code(s): 65.020.99)</t>
  </si>
  <si>
    <t>Consumer information, labelling (TBT); Protection of the environment (TBT); Quality requirements (TBT); Harmonization (TBT); Cost saving and productivity enhancement (TBT)</t>
  </si>
  <si>
    <d:r xmlns:d="http://schemas.openxmlformats.org/spreadsheetml/2006/main">
      <d:rPr>
        <d:sz val="11"/>
        <d:rFont val="Calibri"/>
      </d:rPr>
      <d:t xml:space="preserve">https://members.wto.org/crnattachments/2024/TBT/UGA/24_06698_00_e.pdf</d:t>
    </d:r>
  </si>
  <si>
    <t>The Egyptian Standard ES 3572 for "Sports footwear and its Parts" (partial amendment).</t>
  </si>
  <si>
    <t>Products covered: Footwear (ICS 61.060)This addendum concerns the notification of the Ministerial Decree No.444 /2024 (1 page, in Arabic) that gives the producers and importers a six-month transitional period to abide by the Egyptian Standard ES 3572 for "Sports footwear and its Parts" (partial amendment in 1 page, in Arabic).It should be noted that the Ministerial Decrees No. 477/2018 (3 pages, in Arabic) which was formerly notified in G/TBT/N/EGY/191 dated 4 September 2018, the Ministerial Decrees No. 171/2020 (2 pages, in Arabic) which was formerly notified in G/TBT/N/EGY/191/Add.2 dated 4 June 2020, mandated among others the earlier versions of this Standard.Worth mentioning is that this standard has been partially modified in the following:- Item (2) Complementary specifications: add item No. (2/31) ISO 18454: Footwear Standard atmospheres for conditioning and testing of footwear and components for footwear. - Item (6) sample collection: add item No. (4/6) conditioning that Sample are conditioned  according to ISO 18454. - Table (1) as the following :(tests (natural) -part (sole) - property (Coefficient Of fraction)- value (4.5 ≤) - material (leather).- Item (9/1) Data on the unit on pair of shoes to be (the following information must be clearly, permanently and indelibly marked on the unit).       Worth mentioning is that this standard complies with:JIS S 5050: Leather shoes.United Nations Industrial Development Organization (UNIDO) "Acceptable Quality Standards in the Leather and footwear industry"Producers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</si>
  <si>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Footwear (ICS 61.060)</t>
  </si>
  <si>
    <t>61.060 - Footwear; 61.060 - Footwear</t>
  </si>
  <si>
    <t>Safety Standard for Infant Bath Seats</t>
  </si>
  <si>
    <t xml:space="preserve">In September 2019, the U.S. Consumer Product Safety Commission (CPSC) published an update to the consumer product safety standard for infant bath seats under the Consumer Product Safety Improvement Act of 2008 (CPSIA). The standard incorporated by reference ASTM F1967-19, Standard Consumer Safety Specification for Infant Bath Seats, the voluntary standard for infant bath seats that was in effect at the time. ASTM has now issued a revised standard, ASTM F1967-24. The CPSIA sets forth a process for updating mandatory standards for durable infant or toddler products that are based on a voluntary standard, when a voluntary standards organization revises the standard. Consistent with the CPSIA update process, this direct final rule updates the mandatory standard to incorporate by reference ASTM's 2024 version of the voluntary standard.The rule is effective on 4 January 2025, unless the Commission receives a significant adverse comment by 8 November 2024. If the Commission receives such a comment, it will publish a document in the Federal Register, withdrawing this direct final rule before its effective date. The incorporation by reference of the publication listed in this rule is approved by the Director of the Federal Register as of 4 January 2025.89 Federal Register (FR) 81825, Title 16 Code of Federal Regulations (CFR) Part 1215_x000D_
https://www.govinfo.gov/content/pkg/FR-2024-10-09/html/2024-23211.htm_x000D_
https://www.govinfo.gov/content/pkg/FR-2024-10-09/pdf/2024-23211.pdfThis direct final rule and previous actions notified under the symbol G/TBT/N/USA/489 are identified by Docket Number CPSC-2009-0064. The Docket Folder is available on Regulations.gov at https://www.regulations.gov/docket/CPSC-2009-0064/document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8 November 2024. Comments received by the USA TBT Enquiry Point from WTO Members and their stakeholders will be shared with CPSC and will also be submitted to the Docket on Regulations.gov if received within the comment period._x000D_
</t>
  </si>
  <si>
    <t xml:space="preserve">Infant bath seats  (HS: 9401.80, ICS: 97.190)</t>
  </si>
  <si>
    <t>940180 - Seats, n.e.s.; 940180 - Seats, n.e.s.</t>
  </si>
  <si>
    <d:r xmlns:d="http://schemas.openxmlformats.org/spreadsheetml/2006/main">
      <d:rPr>
        <d:sz val="11"/>
        <d:rFont val="Calibri"/>
      </d:rPr>
      <d:t xml:space="preserve">https://members.wto.org/crnattachments/2024/TBT/USA/final_measure/24_06722_00_e.pdf</d:t>
    </d:r>
  </si>
  <si>
    <t>DRS 581-3: 2024, Alpha-cypermethrin pesticides — Specification — Part 3: Suspension concentrate</t>
  </si>
  <si>
    <t>This Draft Rwanda Standard specifies the requirements, sampling and test methods for suspension concentrate of alpha-cypermethrin used for agricultural purpose.</t>
  </si>
  <si>
    <d:r xmlns:d="http://schemas.openxmlformats.org/spreadsheetml/2006/main">
      <d:rPr>
        <d:sz val="11"/>
        <d:rFont val="Calibri"/>
      </d:rPr>
      <d:t xml:space="preserve">https://members.wto.org/crnattachments/2024/TBT/RWA/24_06741_00_e.pdf</d:t>
    </d:r>
  </si>
  <si>
    <t>DRS 581-5: 2024, Alpha-cypermethrin Pesticides — Specification — Part 5: Ultra low volume liquid (ULV)</t>
  </si>
  <si>
    <t>This Draft Rwanda Standard specifies the requirements, sampling and test methods for ultra-low volume liquid of alpha-cypermethrin used for agricultural purpose.</t>
  </si>
  <si>
    <d:r xmlns:d="http://schemas.openxmlformats.org/spreadsheetml/2006/main">
      <d:rPr>
        <d:sz val="11"/>
        <d:rFont val="Calibri"/>
      </d:rPr>
      <d:t xml:space="preserve">https://members.wto.org/crnattachments/2024/TBT/RWA/24_06743_00_e.pdf</d:t>
    </d:r>
  </si>
  <si>
    <t>Reglamento Técnico Ecuatoriano RTE 086 (2R) "Cascos de Seguridad y Protección" (Second revision (2R) of Ecuadorian Technical Regulation (RTE) No. 086: "Safety and protective headgear")</t>
  </si>
  <si>
    <t xml:space="preserve">Second revision (2R) of Ecuadorian Technical Regulation (RTE) No. 086: "Safety and protective headgear"  1 This information can be provided by including a website address, a PDF attachment, or other information on where the text of the final measure/change to the measure/interpretative guidance can be obtained. G/TBT/N/ECU/541/Add.1 - 2 -   The Republic of Ecuador hereby advises that the second revision (2R) of Ecuadorian Technical Regulation (RTE) No. 086 "Safety and protective headgear" will enter into force on 4 April 2025. It should be noted that, with respect to this Regulation, Ecuador has followed all the transparency and notification guidelines determined by the WTO. Thus, on 20 June 2024, in document G/TBT/N/ECU/541, the draft second revision (2R) of Ecuadorian Technical Regulation (RTE) No. 086: "Safety and protective headgear" was notified for 60 days on the WTO ePing platform for comments. Ministerio de Producción, Comercio Exterior, Inversiones y Pesca, MPCEIP (Ministry of Production, Foreign Trade, Investment and Fisheries) Subsecretaría de la Calidad (Under-Secretariat for Quality) TBT enquiry point: Primary enquiry point: Patricio Fernando Alvarez Chávez Secondary enquiry point: Cristian Eduardo Yépez Jaramillo Plataforma Gubernamental de Gestión Financiera; Av. Amazonas entre Unión Nacional de Periodistas y Alfonso Pereira Piso 8 Bloque amarillo Quito EC170522 Tel.: (+593 2) 394 8760; Ext. 2254; Ext. 2252 Email: puntocontacto-otcecu@produccion.gob.ec; puntocontactoecu@gmail.com; palvarezc@produccion.gob.ec; cyepez@produccion.gob.ec Website: http://www.produccion.gob.ec __________</t>
  </si>
  <si>
    <t>Sombreros y demás tocados, incl. guarnecidos, n.c.o.p. (Código(s) del SA: 6506)</t>
  </si>
  <si>
    <t>6506 - Headgear, whether or not lined or trimmed, n.e.s.; 6506 - Headgear, whether or not lined or trimmed, n.e.s.</t>
  </si>
  <si>
    <t>13.340.20 - Head protective equipment; 13.340.20 - Head protective equipment</t>
  </si>
  <si>
    <d:r xmlns:d="http://schemas.openxmlformats.org/spreadsheetml/2006/main">
      <d:rPr>
        <d:sz val="11"/>
        <d:rFont val="Calibri"/>
      </d:rPr>
      <d:t xml:space="preserve">https://members.wto.org/crnattachments/2024/TBT/ECU/24_06684_00_s.pdf</d:t>
    </d:r>
  </si>
  <si>
    <t>DRS 591: 2024, Pesticides — Determination of total cypermethrin content and diastero isomer ratio</t>
  </si>
  <si>
    <t xml:space="preserve">This Draft Rwanda Standard gives the method for the determination of total cypermethrin content and diastero isomer ratio in technical and technical concentrates of cypermethrin by the high performance liquid chromatographic (HPLC) method._x000D_
NOTE:  The test method given in DRS 590 for the determination of total cypermethrin gives results of greater precision.</t>
  </si>
  <si>
    <d:r xmlns:d="http://schemas.openxmlformats.org/spreadsheetml/2006/main">
      <d:rPr>
        <d:sz val="11"/>
        <d:rFont val="Calibri"/>
      </d:rPr>
      <d:t xml:space="preserve">https://members.wto.org/crnattachments/2024/TBT/RWA/24_06750_00_e.pdf</d:t>
    </d:r>
  </si>
  <si>
    <t>DRS 579: 2024, Pesticides — Guidelines for retail, distribution, storage and handling</t>
  </si>
  <si>
    <t>This Draft Rwanda Standard provides the guidelines for retail, distribution, handling and storage of pesticides.</t>
  </si>
  <si>
    <d:r xmlns:d="http://schemas.openxmlformats.org/spreadsheetml/2006/main">
      <d:rPr>
        <d:sz val="11"/>
        <d:rFont val="Calibri"/>
      </d:rPr>
      <d:t xml:space="preserve">https://members.wto.org/crnattachments/2024/TBT/RWA/24_06733_00_e.pdf</d:t>
    </d:r>
  </si>
  <si>
    <t>DRS 580-4: 2024, Cypermethrin Pesticides — Specification — Part 4: Ultra low volume liquids (ULV)</t>
  </si>
  <si>
    <t>This Draft Rwanda Standard specifies the requirements for the cypermethrin Ultra Low Volume liquids (ULV) for plant protection purpose.</t>
  </si>
  <si>
    <d:r xmlns:d="http://schemas.openxmlformats.org/spreadsheetml/2006/main">
      <d:rPr>
        <d:sz val="11"/>
        <d:rFont val="Calibri"/>
      </d:rPr>
      <d:t xml:space="preserve">https://members.wto.org/crnattachments/2024/TBT/RWA/24_06737_00_e.pdf</d:t>
    </d:r>
  </si>
  <si>
    <t>Resolución Número 1019 de 22 de Agosto de 2024 "Por la cual se deroga la Resolución 0277 de 2015 y se expide el nuevo reglamento técnico aplicable a alambre de acero liso, grafilado y mallas electrosoldadas, para refuerzo de concreto que se fabriquen, importen o comercialicen en Colombia" (Resolution No. 1019 of 22 August 2024 "Repealing Resolution No. 0277 of 2015 and issuing the new technical regulation for plain and deformed steel wire and electro-welded wire mesh for the reinforcement of concrete that are manufactured in, imported into or marketed in Colombia")</t>
  </si>
  <si>
    <t>The Republic of Colombia hereby advises that the draft Resolution "Repealing Resolution No. 0277 of 2015 and issuing the new technical regulation for plain and deformed steel wire and electro-welded wire mesh for the reinforcement of concrete that are manufactured in, imported into or marketed in Colombia" was issued on 22 August 2024 pursuant to Ministry of Trade, Industry and Tourism Resolution No. 1019, which will enter into force six (6) months after publication in the Official Journal and repeals Resolution No. 0277 of 2 February 2015. __________</t>
  </si>
  <si>
    <t>Bars and rods, hot-rolled, in irregularly wound coils of iron or non-alloy steel, with indentations, ribs, grooves or other deformations produced during the rolling process "ECSC" (HS code(s): 721310); Grill, netting and fencing, welded at the intersection, having a mesh size of &gt;= 100 cm², of iron or steel wire with a maximum cross-sectional dimension of &gt;= 3 mm (HS code(s): 731420)</t>
  </si>
  <si>
    <t>721310 - Bars and rods, hot-rolled, in irregularly wound coils of iron or non-alloy steel, with indentations, ribs, grooves or other deformations produced during the rolling process; 731420 - Grill, netting and fencing, welded at the intersection, having a mesh size of &gt;= 100 cm², of iron or steel wire with a maximum cross-sectional dimension of &gt;= 3 mm; 731420 - Grill, netting and fencing, welded at the intersection, having a mesh size of &gt;= 100 cm², of iron or steel wire with a maximum cross-sectional dimension of &gt;= 3 mm; 721310 - Bars and rods, hot-rolled, in irregularly wound coils of iron or non-alloy steel, with indentations, ribs, grooves or other deformations produced during the rolling process "ECSC"</t>
  </si>
  <si>
    <t>77.140.15 - Steels for reinforcement of concrete; 77.140.15 - Steels for reinforcement of concrete</t>
  </si>
  <si>
    <d:r xmlns:d="http://schemas.openxmlformats.org/spreadsheetml/2006/main">
      <d:rPr>
        <d:sz val="11"/>
        <d:rFont val="Calibri"/>
      </d:rPr>
      <d:t xml:space="preserve">https://members.wto.org/crnattachments/2024/TBT/COL/final_measure/24_06724_00_s.pdf
https://members.wto.org/crnattachments/2024/TBT/COL/final_measure/24_06724_01_s.pdf</d:t>
    </d:r>
  </si>
  <si>
    <t>Consumer Goods (Toppling Furniture) Information Standard 2023</t>
  </si>
  <si>
    <t>The ACCC has recommended the Assistant Treasurer, the Hon Stephen Jones MP, make an information standard to cover the following products:chests of drawers, cabinets, and wardrobes, with a height above 500mmbookcases with a height above 600mmhall tables, display cabinets, buffets and sideboards, with a height above 500mm entertainment units of any height. </t>
  </si>
  <si>
    <t>97.140 - Furniture; 97.140 - Furniture</t>
  </si>
  <si>
    <d:r xmlns:d="http://schemas.openxmlformats.org/spreadsheetml/2006/main">
      <d:rPr>
        <d:sz val="11"/>
        <d:rFont val="Calibri"/>
      </d:rPr>
      <d:t xml:space="preserve">https://www.legislation.gov.au/F2024L00512/asmade/text</d:t>
    </d:r>
  </si>
  <si>
    <t xml:space="preserve">Federal Motor Vehicle Safety Standards; FMVSS No. 213, “Child 
Restraint Systems,” FMVSS No. 213a, “Child Restraint Systems--Side 
Impact Protection,” and FMVSS No. 213b, “Child Restraint Systems”--
Response to Petitions for Reconsideration</t>
  </si>
  <si>
    <t xml:space="preserve">This final rule responds to petitions for reconsideration of the June 2022 final rule establishing Federal Motor Vehicle Safety Standard (FMVSS) No. 213a and the December 2023 final rule establishing FMVSS No. 213b. This final rule grants petitions to incorporate a dummy positioning procedure for shield-type child restraint systems (CRSs), clarify test procedure for CRSs with certain types of side impact technologies, remove testing CRSs installed with lap belt only in frontal sled tests, and correct inconsistencies in the regulatory text and figures in FMVSS Nos. 213a and 213b. This final rule also partially grants the petition to align compliance dates between the standards. All other requests are denied.Effective date: 8 November 2024.    Reconsideration date: If you wish to petition for reconsideration of this rule, your petition must be received by 25 November 2024.89 Federal Register (FR) 81836, Title 49 Code of Federal Regulations (CFR) Part 571_x000D_
https://www.govinfo.gov/content/pkg/FR-2024-10-09/html/2024-22448.htm_x000D_
https://www.govinfo.gov/content/pkg/FR-2024-10-09/pdf/2024-22448.pdfThis final rule; response to petitions for reconsideration is identified by Docket Number NHTSA-2024-0058. The Docket Folder is available from Regulations.gov at https://www.regulations.gov/docket/NHTSA-2024-0058/document and provides access to primary documents as well as comments received. Documents are also accessible from Regulations.gov by searching the Docket Number. WTO Members and their stakeholders are asked to submit petitions for reconsideration to the USA TBT Enquiry Point by or before 4pmEastern Time on 25 November 2024. Petitions for reconsideration received by the USA TBT Enquiry Point from WTO Members and their stakeholders will be shared with the regulator and will also be submitted to the Docket on Regulations.gov if received within the comment period.Other actions notified under the symbol G/TBT/N/USA/882 are identified by Docket Numbers NHTSA-2014-0012 and NHTSA-2022-0051</t>
  </si>
  <si>
    <t>43.040 - Road vehicle systems; 43.040 - Road vehicle systems; 97.190 - Equipment for children; 97.190 - Equipment for children</t>
  </si>
  <si>
    <d:r xmlns:d="http://schemas.openxmlformats.org/spreadsheetml/2006/main">
      <d:rPr>
        <d:sz val="11"/>
        <d:rFont val="Calibri"/>
      </d:rPr>
      <d:t xml:space="preserve">https://members.wto.org/crnattachments/2024/TBT/USA/final_measure/24_06719_00_e.pdf</d:t>
    </d:r>
  </si>
  <si>
    <t>DRS 581-2: 2024, Alpha-cypermethrin Pesticides — Specification — Part 2: Wettable powder</t>
  </si>
  <si>
    <t>This Draft Rwanda Standard specifies the requirements, sampling and test methods for wettable powder of alpha-cypermethrin used for agricultural purpose.</t>
  </si>
  <si>
    <d:r xmlns:d="http://schemas.openxmlformats.org/spreadsheetml/2006/main">
      <d:rPr>
        <d:sz val="11"/>
        <d:rFont val="Calibri"/>
      </d:rPr>
      <d:t xml:space="preserve">https://members.wto.org/crnattachments/2024/TBT/RWA/24_06740_00_e.pdf</d:t>
    </d:r>
  </si>
  <si>
    <t>DRS 587: 2024, Sunflower seeds for oil extraction — Specification</t>
  </si>
  <si>
    <t>This draft Rwanda standards specifies the requirements, sampling and test methods for sunflower (Helianthus annuus, L.) seed for oil extraction.</t>
  </si>
  <si>
    <t>Oilseeds (ICS code(s): 67.200.20)</t>
  </si>
  <si>
    <t>120600 - Sunflower seeds, whether or not broken</t>
  </si>
  <si>
    <d:r xmlns:d="http://schemas.openxmlformats.org/spreadsheetml/2006/main">
      <d:rPr>
        <d:sz val="11"/>
        <d:rFont val="Calibri"/>
      </d:rPr>
      <d:t xml:space="preserve">https://members.wto.org/crnattachments/2024/TBT/RWA/24_06747_00_e.pdf</d:t>
    </d:r>
  </si>
  <si>
    <t>DRS 580-1: 2024, Cypermethrin Pesticides — Specification — Part 1: Technical material (TC)</t>
  </si>
  <si>
    <t>This Draft Rwanda Standard specifies the requirements for the technical material of cypermethrin based pesticides for plant protection purpose.</t>
  </si>
  <si>
    <d:r xmlns:d="http://schemas.openxmlformats.org/spreadsheetml/2006/main">
      <d:rPr>
        <d:sz val="11"/>
        <d:rFont val="Calibri"/>
      </d:rPr>
      <d:t xml:space="preserve">https://members.wto.org/crnattachments/2024/TBT/RWA/24_06734_00_e.pdf</d:t>
    </d:r>
  </si>
  <si>
    <t>Modifica Resolución N°9.074 de 2018 y Resolución N°1.557 de 2014 en el sentido de incorporar y actualizar autorizaciones especiales para plaguicidas naturales y sintéticos (Amendments to Resolution No. 9.074 of 2018 and Resolution No. 1.557 of 2014 in order to incorporate and update special authorizations for natural and synthetic pesticides) (6 pages, in Spanish)</t>
  </si>
  <si>
    <t>The notified document addresses the need to update the SAG requirements contained in the regulatory provisions of Resolution No. 9.074/2018 in accordance with Resolution No. 1.557/2014. In addition, it incorporates new terms introduced in the new regulations and includes, inter alia, digitalization and electronic signatures. Further details can be found in the document attached to this notification.</t>
  </si>
  <si>
    <t>Special authorizations for natural and synthetic pesticides.</t>
  </si>
  <si>
    <d:r xmlns:d="http://schemas.openxmlformats.org/spreadsheetml/2006/main">
      <d:rPr>
        <d:sz val="11"/>
        <d:rFont val="Calibri"/>
      </d:rPr>
      <d:t xml:space="preserve">https://members.wto.org/crnattachments/2024/TBT/CHL/24_06726_00_s.pdf</d:t>
    </d:r>
  </si>
  <si>
    <t>Primera Revisión del Reglamento Técnico Ecuatoriano RTE 218 (1R) "Equipos de flotación individual" (First revision (1R) of Ecuadorian Technical Regulation RTE No. 218: "Personal flotation devices")</t>
  </si>
  <si>
    <t xml:space="preserve">Ecuadorian Technical Regulation RTE No. 218 (1R): "Personal flotation devices" The Republic of Ecuador hereby advises that Ecuadorian Technical Regulation (RTE) No. 218 (1R): "Personal flotation devices" will enter into force on 4 April 2025.  1 This information can be provided by including a website address, a PDF attachment, or other information on where the text of the final measure/change to the measure/interpretative guidance can be obtained. G/TBT/N/ECU/543/Add.1 - 2 -   It should be noted that, with respect to this Regulation, Ecuador has followed all the transparency and notification guidelines determined by the WTO. Thus, on 28 June 2024, in document G/TBT/N/ECU/543, the draft first revision (1R) of Ecuadorian Technical Regulation RTE No. 218: "Personal flotation devices" was notified for 60 days on the WTO ePing platform for comments. No comments were received during this period. Ministerio de Producción, Comercio Exterior, Inversiones y Pesca, MPCEIP (Ministry of Production, Foreign Trade, Investment and Fisheries) Subsecretaría de la Calidad (Under-Secretariat for Quality) TBT enquiry point: Primary enquiry point: Patricio Fernando Alvarez Chávez Secondary enquiry point: Cristian Eduardo Yépez Jaramillo Plataforma Gubernamental de Gestión Financiera; Av. Amazonas entre Unión Nacional de Periodistas y Alfonso Pereira Piso 8 Bloque amarillo Quito EC170522 Tel.: (+593 2) 394 8760; Ext. 2254; Ext. 2252 Email: puntocontacto-otcecu@produccion.gob.ec; puntocontactoecu@gmail.com; palvarezc@produccion.gob.ec; cyepez@produccion.gob.ec Website: http://www.produccion.gob.ec __________</t>
  </si>
  <si>
    <t>Cinturones y chalecos salvavidas, de todo tipo de materia textil (Código(s) del SA: 630720)</t>
  </si>
  <si>
    <t>630720 - Life jackets and life belts, of all types of textile materials; 630720 - Life jackets and life belts, of all types of textile materials</t>
  </si>
  <si>
    <t>13.340.70 - Lifejackets, buoyancy aids and flotation devices; 13.340.70 - Lifejackets, buoyancy aids and flotation devices</t>
  </si>
  <si>
    <d:r xmlns:d="http://schemas.openxmlformats.org/spreadsheetml/2006/main">
      <d:rPr>
        <d:sz val="11"/>
        <d:rFont val="Calibri"/>
      </d:rPr>
      <d:t xml:space="preserve">https://members.wto.org/crnattachments/2024/TBT/ECU/24_06688_00_s.pdf</d:t>
    </d:r>
  </si>
  <si>
    <t>Reglamento Técnico Ecuatoriano RTE 090 (2R) "Válvulas reductoras de presión" (Second revision (2R) of Ecuadorian Technical Regulation (RTE) No. 090 "Pressure-reducing valves")</t>
  </si>
  <si>
    <t xml:space="preserve">Second revision (2R) of Ecuadorian Technical Regulation (RTE) No. 090 "Pressure-reducing valves"  1 This information can be provided by including a website address, a PDF attachment, or other information on where the text of the final measure/change to the measure/interpretative guidance can be obtained. G/TBT/N/ECU/533/Add.1 - 2 -   The Republic of Ecuador hereby advises that the second revision (2R) of Ecuadorian Technical Regulation (RTE) No. 090 "Pressure-reducing valves" will enter into force on 4 April 2025. It should be noted that, with respect to this Regulation, Ecuador has followed all the transparency and notification guidelines determined by the WTO. Thus, on 10 June 2024, in document G/TBT/N/ECU/533, the draft second revision (2R) of Ecuadorian Technical Regulation (RTE) No. 090 "Pressure-reducing valves" was notified for 60 days on the WTO ePing platform for comments. No comments were received during this period. Ministerio de Producción, Comercio Exterior, Inversiones y Pesca, MPCEIP (Ministry of Production, Foreign Trade, Investment and Fisheries) Subsecretaría de la Calidad (Under-Secretariat for Quality) TBT enquiry point: Primary enquiry point: Patricio Fernando Alvarez Chávez Secondary enquiry point: Cristian Eduardo Yépez Jaramillo Plataforma Gubernamental de Gestión Financiera; Av. Amazonas entre Unión Nacional de Periodistas y Alfonso Pereira Piso 8 Bloque amarillo Quito EC170522 Tel.: (+593 2) 394 8760; Ext. 2254; Ext. 2252 Email: puntocontacto-otcecu@produccion.gob.ec; puntocontactoecu@gmail.com; palvarezc@produccion.gob.ec; cyepez@produccion.gob.ec Website: http://www.produccion.gob.ec __________</t>
  </si>
  <si>
    <t>Válvulas reductoras de presión (Código(s) del SA: 848110)</t>
  </si>
  <si>
    <t>848110 - Pressure-reducing valves; 848110 - Pressure-reducing valves</t>
  </si>
  <si>
    <t>23.060 - Valves; 23.060 - Valves; 23.060.40 - Pressure regulators; 23.060.40 - Pressure regulators</t>
  </si>
  <si>
    <d:r xmlns:d="http://schemas.openxmlformats.org/spreadsheetml/2006/main">
      <d:rPr>
        <d:sz val="11"/>
        <d:rFont val="Calibri"/>
      </d:rPr>
      <d:t xml:space="preserve">https://members.wto.org/crnattachments/2024/TBT/ECU/24_06687_00_s.pdf</d:t>
    </d:r>
  </si>
  <si>
    <t>DRS 560-3: 2024, Cypermethrin Pesticides — Specification — Part 3: Wettable powders (WP)</t>
  </si>
  <si>
    <t>This Draft Rwanda Standard specifies the requirements for the cypermethrin pesticides in form of Wettable Powders (WP) for plant protection purpose.</t>
  </si>
  <si>
    <d:r xmlns:d="http://schemas.openxmlformats.org/spreadsheetml/2006/main">
      <d:rPr>
        <d:sz val="11"/>
        <d:rFont val="Calibri"/>
      </d:rPr>
      <d:t xml:space="preserve">https://members.wto.org/crnattachments/2024/TBT/RWA/24_06736_00_e.pdf</d:t>
    </d:r>
  </si>
  <si>
    <t>DRS 580-5: 2024, Cypermethrin Pesticides — Specification — Part 5: Technical concentrates (TK)</t>
  </si>
  <si>
    <t>This Standard specifies the requirements for the technical concentrates of cypermethrin (for plant protection purpose).</t>
  </si>
  <si>
    <d:r xmlns:d="http://schemas.openxmlformats.org/spreadsheetml/2006/main">
      <d:rPr>
        <d:sz val="11"/>
        <d:rFont val="Calibri"/>
      </d:rPr>
      <d:t xml:space="preserve">https://members.wto.org/crnattachments/2024/TBT/RWA/24_06738_00_e.pdf</d:t>
    </d:r>
  </si>
  <si>
    <t>Reglamento Técnico Ecuatoriano RTE 006 (4R) "Extintores portátiles y agentes de extinción de fuego" (Fourth revision (4R) of Ecuadorian Technical Regulation (RTE) No. 006 "Portable fire extinguishers and fire extinguishing agents")</t>
  </si>
  <si>
    <t xml:space="preserve">Fourth revision (4R) of Ecuadorian Technical Regulation (RTE) No. 006 "Portable fire extinguishers and fire extinguishing agents"  1 This information can be provided by including a website address, a PDF attachment, or other information on where the text of the final measure/change to the measure/interpretative guidance can be obtained. G/TBT/N/ECU/528/Add.1 - 2 -   The Republic of Ecuador hereby advises that the fourth revision (4R) of Ecuadorian Technical Regulation (RTE) No. 006 "Portable fire extinguishers and fire extinguishing agents" will enter into force on 4 April 2025. It should be noted that, with respect to this Regulation, Ecuador has followed all the transparency and notification guidelines determined by the WTO. Thus, on 3 June 2024, in document G/TBT/N/ECU/528, the draft fourth revision (4R) of Ecuadorian Technical Regulation (PRTE) No. 006 "Portable fire extinguishers and fire extinguishing agents" was notified for 60 days on the WTO ePing platform for comments. Ministerio de Producción, Comercio Exterior, Inversiones y Pesca, MPCEIP (Ministry of Production, Foreign Trade, Investment and Fisheries) Subsecretaría de la Calidad (Under-Secretariat for Quality) TBT enquiry point: Primary enquiry point: Patricio Fernando Alvarez Chávez Secondary enquiry point: Cristian Eduardo Yépez Jaramillo Plataforma Gubernamental de Gestión Financiera; Av. Amazonas entre Unión Nacional de Periodistas y Alfonso Pereira Piso 8 Bloque amarillo Quito EC170522 Tel.: (+593 2) 394 8760; Ext. 2254; Ext. 2252 Email: puntocontacto-otcecu@produccion.gob.ec; puntocontactoecu@gmail.com; palvarezc@produccion.gob.ec; cyepez@produccion.gob.ec Website: http://www.produccion.gob.ec __________</t>
  </si>
  <si>
    <t>PRODUCTOS DIVERSOS DE LAS INDUSTRIAS QUÍMICAS (Código(s) del SA: 38); REACTORES NUCLEARES, CALDERAS, MÁQUINAS, APARATOS Y ARTEFACTOS MECÁNICOS; PARTES DE ESTAS MÁQUINAS O APARATOS (Código(s) del SA: 84)</t>
  </si>
  <si>
    <t>84 - NUCLEAR REACTORS, BOILERS, MACHINERY AND MECHANICAL APPLIANCES; PARTS THEREOF; 38 - MISCELLANEOUS CHEMICAL PRODUCTS; 84 - NUCLEAR REACTORS, BOILERS, MACHINERY AND MECHANICAL APPLIANCES; PARTS THEREOF; 38 - MISCELLANEOUS CHEMICAL PRODUCTS</t>
  </si>
  <si>
    <t>13.220.20 - Fire protection; 13.220.20 - Fire protection</t>
  </si>
  <si>
    <d:r xmlns:d="http://schemas.openxmlformats.org/spreadsheetml/2006/main">
      <d:rPr>
        <d:sz val="11"/>
        <d:rFont val="Calibri"/>
      </d:rPr>
      <d:t xml:space="preserve">https://members.wto.org/crnattachments/2024/TBT/ECU/24_06685_00_s.pdf</d:t>
    </d:r>
  </si>
  <si>
    <t>DUS DARS 1296:2024, Edible insects— Guideline on safety of foods based on edible insects, First editionNote: This Draft Uganda Standard was also notified to the SPS Committee</t>
  </si>
  <si>
    <t>This Draft Uganda Standard addresses food safety requirements for foods based on edible insects and their products</t>
  </si>
  <si>
    <t>Prevention of deceptive practices and consumer protection (TBT); Protection of human health or safety (TBT); Protection of animal or plant life or health (TBT); Harmonization (TBT); Cost saving and productivity enhancement (TBT)</t>
  </si>
  <si>
    <d:r xmlns:d="http://schemas.openxmlformats.org/spreadsheetml/2006/main">
      <d:rPr>
        <d:sz val="11"/>
        <d:rFont val="Calibri"/>
      </d:rPr>
      <d:t xml:space="preserve">https://members.wto.org/crnattachments/2024/TBT/UGA/24_06616_00_e.pdf</d:t>
    </d:r>
  </si>
  <si>
    <t>The Egyptian Standard ES 1819-1 for” Essential requirements for Bouillon and consommés and methods of analysis and testing part 1: bouillon and consommés “ </t>
  </si>
  <si>
    <t>Products covered: ICS 67.120.10 (Meat and meat products), ICS :67.120.20 (Poultry and eggs)This addendum concerns the notification of the Ministerial Decree No. 447/2024 (2 pages, in Arabic) that gives the producers and importers a six-month transitional period to abide by the Egyptian Standard ES 1819-1 for” Essential requirements for bouillons and consommés and methods of analysis and testing part 1: bouillon and consommés” (11 pages, Arabic)It should be noted that Ministerial Decree No. 130 /2005 (11 pages in Arabic) which was formerly notified in G/TBT/N/EGY/1 dated 14 Dec 2005, mandated among others the earlier version of this Egyptian Standard.Worth mentioning is that this standard is technically identical with Codex Standard No. 117/1981 “bouillons and consommés”, adopted in 1981. revised in 2001, 2015. amended in 2021.Producers and importers are kept informed of any amendments in the Egyptian standard through the publication of administrative orders in the official gazette.Date of adoption: 7 September 2024      Date of entry into force: 3 October 2024Agency or authority designated to handle comments and text available from:National Enquiry Point Egyptian Organization for Standardization and Quality 16 Tadreeb El-Modarrebeen St., Ameriya, Cairo – Egypt E-mail: eos@idsc.net.egeos.tbt@eos.org.egWebsite: http://www.eos.org.eg Tel: + (202) 22845528 Fax: + (202) 22845504</t>
  </si>
  <si>
    <t>The Egyptian Standard ES 8918 for "woven plastic shopping sacks”.</t>
  </si>
  <si>
    <t>Products covered: Sacks. Bags (ICS code(s): 55.080)This addendum concerns the notification of the Ministerial Decree No.445 /2024 (2 pages, in Arabic) that gives the producers and importers a six-month transitional period to abide by the Egyptian Standard ES 8918 for "woven plastic shopping sacks"; (18 page(s), in Arabic)It should be noted that the draft of this standard was formerly notified in G/TBT/N/EGY/456 dated        12 March 2024.Worth mentioning is that this standard complies with TZS 3560:2022.Producers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</si>
  <si>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55.080 - Sacks. Bags; 55.080 - Sacks. Bags</t>
  </si>
  <si>
    <t>The Egyptian Standard ES 8896-2 for "Walk-in cold rooms - Definition, thermal insulation performance and test methods - Part 2: Customized cold rooms “.</t>
  </si>
  <si>
    <t>Products covered: (ICS code(s): 97.130.20) (Commercial refrigerating appliances).This addendum concerns the notification of the Ministerial Decree No.445 /2024 (2 pages, in Arabic) that gives the producers and importers a six-month transitional period to abide by the Egyptian Standard ES 8896-2 for" Walk-in cold rooms - Definition, thermal insulation performance and test methods - Part 2: Customized cold rooms “. (57 page(s), in English)It should be noted the draft of this standard was formerly notified in G/TBT/N/EGY/401 dated  9 February 2024.Worth mentioning is that this standard adopts the technical content of EN 16855-2:2018.Producers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</si>
  <si>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Commercial refrigerating appliances (ICS code(s): 97.130.20)</t>
  </si>
  <si>
    <t>97.130.20 - Commercial refrigerating appliances; 97.130.20 - Commercial refrigerating appliances</t>
  </si>
  <si>
    <t>Draft of Egyptian standard ES for “ buoyant aids for swimming instruction part 2: safety requirements and test methods for buoyant aids to be held " </t>
  </si>
  <si>
    <t xml:space="preserve">This draft of Egyptian standard specifies safety requirements for construction, performance, sizing and marking for swimming devices intended to assist users with movement through the water in the early stages of water awareness, while learning to swim or while learning part of a swimming stroke. It also gives methods of test for verification of these requirements._x000D_
This part 2 of EN 13138 applies only to class C swimming devices that are designed to be held in the hands or by the body. Typical swimming devices include kick boards and pull/kick boards. These swimming devices are used to assist in learning to swim or to assist with swimming strokes and improving specific elements of the stroke, which have either inherent buoyancy or can be inflated._x000D_
It does not apply to pull buoys, swim rings, lifebuoys, buoyancy aids, lifejackets or aquatic toys.Worth mentioning is that this draft standard is technically identical with EN 13138-2/2021</t>
  </si>
  <si>
    <t>Lifejackets, buoyancy aids and flotation devices (ICS code(s): 13.340.70); Outdoor and water sports equipment (ICS code(s): 97.220.40)</t>
  </si>
  <si>
    <t>13.340.70 - Lifejackets, buoyancy aids and flotation devices; 97.220.40 - Outdoor and water sports equipment</t>
  </si>
  <si>
    <t>The Egyptian Standard ES 8924 for " organic fertilizers and soil improvers- water extraction".</t>
  </si>
  <si>
    <t>Products covered: Fertilizers (ICS code(s): 65.080)This addendum concerns the notification of the Ministerial Decree No.445/2024 (2 pages, in Arabic) that gives the producers and importers a six-month transitional period to abide by the Egyptian Standard ES 8924 for " organic fertilizers and soil improvers- water extraction";           (13 page(s), in Arabic).It should be noted that the draft of this standard was formerly notified in G/TBT/N/EGY/472 dated        14 May 2024.Worth mentioning is that this standard has been formulated according to National Studies.Producers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</si>
  <si>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Draft of Egyptian standard for "Fire-fighting pumps. Portable pumps. Safety and performance requirements, tests"; </t>
  </si>
  <si>
    <t>This draft of Egyptian standard applies to portable pumps using fire-fighting centrifugal pumps as defined in EN 1028, driven by an internal combustion engine and not intended to be permanently installed in fire-fighting and rescue service vehicles and not intended for prolonged unattended operation.This document deals with all significant hazards, hazardous situations and events relevant to portable firefighting pumps and specifies performance requirements for portable pumps in its scope.Worth mentioning is that this Draft standard adopts the technical content of EN 14466:2005+A1:2008</t>
  </si>
  <si>
    <t>Fire-fighting (ICS code(s): 13.220.10)</t>
  </si>
  <si>
    <t>The Egyptian Standard ES 8891-2/2024 for " Energy performance of lifts, escalators and moving walks — Part 2: Energy calculation and classification for lifts (elevators)".</t>
  </si>
  <si>
    <t>Products covered: Lifts. Escalators (ICS code(s): 91.140.90)This addendum concerns the notification of the Ministerial Decree No.445/2024 (2 page, in Arabic) that gives the producers and importers a twelve –month transitional period to abide by Egyptian Standard ES 8891-2/2024for " Energy performance of lifts, escalators and moving walks —           Part 2: Energy calculation and classification for lifts (elevators)"; (24 page(s), in Arabic).It should be noted the draft of this standard was formerly notified in G/TBT/N/EGY/469 dated         2 May 2024.Worth mentioning is that this standard is technically identical with ISO 25745-2:2015/Amd1: 2023Producers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</si>
  <si>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Lifts. Escalators (ICS code(s): 91.140.90)</t>
  </si>
  <si>
    <t>91.140.90 - Lifts. Escalators; 91.140.90 - Lifts. Escalators</t>
  </si>
  <si>
    <t>The Egyptian Standard ES 889-2 for " frozen fish part: 2 frozen fish fillets “</t>
  </si>
  <si>
    <t>Products covered: ICS 67.120.30  (Fish and fishery productsThis addendum concerns the notification of the Ministerial Decree No.447 /2024 (2 pages, in Arabic) that gives the producers and importers a six-month transitional period to abide by the Egyptian Standard ES 889-2 for " frozen fish part: 2 -  frozen fish fillets “(15 pages, in Arabic).It should be noted that Ministerial Decree No. 515 /2005 (10 pages, in Arabic) which was formerly notified in G/TBT/N/EGY/2 dated 14 December 2005, mandated among others the earlier version of this Egyptian Standard.Worth mentioning is that this standard is technical identical with CODEX STAN 190 -1995 Adopted in 1995. Amended in 2011, 2013, 2014 Revised in 2017 .Producers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</si>
  <si>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Preliminary draft Decision of the Plenary Meeting of the Federal Telecommunications Institute amending the guidelines for the type approval of products, equipment, devices or apparatus intended for telecommunications or broadcasting</t>
  </si>
  <si>
    <t>Publication of the Decision of the Plenary Meeting of the Federal Telecommunications Institute amending the guidelines for the type approval of products, equipment, devices or apparatus intended for telecommunications or broadcasting. __________</t>
  </si>
  <si>
    <t>Productos, equipos, dispositivos o aparatos destinados a telecomunicaciones o radiodifusión que puedan ser conectados a una red de telecomunicaciones o hacer uso del espectro radioeléctrico.</t>
  </si>
  <si>
    <d:r xmlns:d="http://schemas.openxmlformats.org/spreadsheetml/2006/main">
      <d:rPr>
        <d:sz val="11"/>
        <d:rFont val="Calibri"/>
      </d:rPr>
      <d:t xml:space="preserve">https://members.wto.org/crnattachments/2024/TBT/MEX/final_measure/24_06609_00_s.pdf</d:t>
    </d:r>
  </si>
  <si>
    <t>Draft of The Egyptian Standard ES 2501" Audio/video, information and communication technology equipment –Safety requirements; (257 page(s), in English) “.</t>
  </si>
  <si>
    <t>Products covered: ICS: 33.160.01 (Audio, video and audiovisual systems in general), ICS: 35.020 (Information technology (IT) in general).This addendum concerns the notification of the Draft of the Egyptian Standard ES 2501" Audio/video, information and communication technology equipment –Safety requirements”; (257 page(s), in English).It should be noted that the Ministerial Decree No. 241/2016 (3 pages, in Arabic) which was formerly notified in G/TBT/N/EGY/157 dated 15 August 2016, mandated among others the earlier version of this standard.Worth mentioning is that this draft standard adopts the technical content of IEC 62368-1/2023.Producers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</si>
  <si>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The Egyptian standard ES 5072 for “ducted air-conditioners and air-to-air heat pumps — Testing and rating for performance".</t>
  </si>
  <si>
    <t>Products covered: (ICS code(s): 23.120) (Ventilators. Fans. Air-conditioners) , (ICS code(s): 27.080) Heat pumps.This addendum concerns the notification of the Ministerial Decree No.445 /2024 (2 pages, in Arabic) that gives the producers and importers a six-month transitional period to abide by the Egyptian Standard ES 5072 for “ducted air-conditioners and air-to-air heat pumps — Testing and rating for performance"; (94 page(s), in English).It should be noted the draft of this standard was formerly notified in G/TBT/N/EGY/399 dated  9 February 2024.Worth mentioning is that this standard adopts the technical content of ISO 13253:2017/AMD 1:2020.Producers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</si>
  <si>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Ventilators. Fans. Air-conditioners (ICS code(s): 23.120); Heat pumps (ICS code(s): 27.080)</t>
  </si>
  <si>
    <t>23.120 - Ventilators. Fans. Air-conditioners; 27.080 - Heat pumps; 23.120 - Ventilators. Fans. Air-conditioners; 27.080 - Heat pumps</t>
  </si>
  <si>
    <t>The Egyptian Standard ES 50-2 for " Hydrogenated Oils and Margarine - part:2 -Hydrogenated Vegetable Oils"</t>
  </si>
  <si>
    <t>Products covered: ICS 67.200.10 (Animal and vegetable fats and oils)This addendum concerns the notification of the Ministerial Decree No.447 /2024 (2 pages, in Arabic) that gives the producers and importers a six-month transitional period to abide by the Egyptian Standard ES 50-2 for " Hydrogenated Oils and Margarine - part:2 -Hydrogenated Vegetable Oils " (10 pages, in Arabic).It should be noted that Ministerial Decree No. 515 /2005 (10 pages, in Arabic) which was formerly notified in G/TBT/N/EGY/2 dated 14 December 2005, mandated among others the earlier version of this Egyptian Standard.Worth mentioning is that this standard has been formulated according to National Studies.Producers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</si>
  <si>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Draft Resolution 1261, 7 June 2024</t>
  </si>
  <si>
    <t>Draft Resolution 1261, 7 June 2024 - previously notified through  G/SPS/N/BRA/2308 - was adopted as Normative Instruction 325, 4 October 2024. The regulation proposes the inclusion of active ingredient F80 - FLUOXAPIPROLIN on the Monograph List of Active Ingredients for Pesticides, Household Cleaning Products and Wood Preservatives, published by Normative Instruction 103 on 19 October 2021 in the Brazilian Official Gazette (DOU - Diário Oficial da União). The final text is available only in Portuguese and can be downloaded at:</t>
  </si>
  <si>
    <d:r xmlns:d="http://schemas.openxmlformats.org/spreadsheetml/2006/main">
      <d:rPr>
        <d:sz val="11"/>
        <d:rFont val="Calibri"/>
      </d:rPr>
      <d:t xml:space="preserve">https://members.wto.org/crnattachments/2024/SPS/BRA/24_06690_00_x.pdf
https://antigo.anvisa.gov.br/documents/10181/6767812/IN_325_2024_.pdf/b15eb1f0-afe6-470c-9cf4-69c0aea22b5f</d:t>
    </d:r>
  </si>
  <si>
    <t>Wheat (Triticum aestivum</t>
  </si>
  <si>
    <t>This addendum concerns the notification of the Ministerial Decree No. 447 /2024 (2 pages, in Arabic) that gives the producers and importers a six-month transitional period to abide by the Egyptian Standard ES 1601-1 for: Essential requirements for wheat (Triticum aestivumIt should be noted that the Egyptian Standard ES 1601-1/2010: Essential requirements for wheat (Triticum aestivum) was formerly notified in G/SPS/N/EGY/39 dated 2 July 2010.Worth mentioning is that this standard comply with the following:ISO 7970-2021 “Wheat (Triticum aestivum) - Specification”;Codex Stan 199-2019 "Wheat and Durum wheat".Producers and importers are kept informed of any amendments in the Egyptian Standard through the publication of administrative orders in the official gazette.Proposed date of adoption: 7 September 2024Proposed date of entry into force: 3 October 2024</t>
  </si>
  <si>
    <t>Wheat</t>
  </si>
  <si>
    <t>1001 - Wheat and meslin; 1001 - Wheat and meslin</t>
  </si>
  <si>
    <t>The Egyptian Standard ES 8925 for "paper shopping sacks".</t>
  </si>
  <si>
    <t>Products covered: Sacks. Bags (ICS code(s): 55.080)This addendum concerns the notification of the Ministerial Decree No.445/2024 (2 pages, in Arabic) that gives the producers and importers a six-month transitional period to abide by the Egyptian Standard ES 8925 for "paper shopping sacks"; (12 page(s), in Arabic).It should be noted that the draft of this standard was formerly notified in G/TBT/N/EGY/473 dated        14 May 2024.Worth mentioning is that this standard has been formulated according to:EAS 859 : 2017National Studies.Producers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</si>
  <si>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The Egyptian Standard ES 8897 for " Packaged refrigerating units for walk-in cold rooms - Classification, performance and energy consumption testing “.</t>
  </si>
  <si>
    <t>Products covered: (ICS code(s): 27.200) (Refrigerating technology).This addendum concerns the notification of the Ministerial Decree No.445 /2024 (2 pages, in Arabic) that gives the producers and importers a six-month transitional period to abide by the Egyptian Standard ES 8897 for " Packaged refrigerating units for walk-in cold rooms - Classification, performance and energy consumption testing "; (27 page(s), in English).It should be noted that the draft of this standard was formerly notified in G/TBT/N/EGY/405 dated 9 February 2024.Worth mentioning is that this standard adopts the technical content of EN 17432:2021.Producers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</si>
  <si>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Refrigerating technology (ICS code(s): 27.200)</t>
  </si>
  <si>
    <t>27.200 - Refrigerating technology; 27.200 - Refrigerating technology</t>
  </si>
  <si>
    <t>The Egyptian Standard ES 8891-1 for " Energy performance of lifts, escalators and moving walks — Part 1: Energy measurement and verification ".</t>
  </si>
  <si>
    <t>Products covered: Lifts. Escalators (ICS code(s): 91.140.90)This addendum concerns the notification of the Ministerial Decree No.445/2024 (2 page, in Arabic) that gives the producers and importers a twelve –month transitional period to abide by Egyptian Standard 8891-1 for " Energy performance of lifts, escalators and moving walks — Part 1: Energy measurement and verification "; (24 page(s), in Arabic).It should be noted the draft of this standard was formerly notified in G/TBT/N/EGY/470 dated          2 May 2024.Worth mentioning is that this standard is technically identical with ISO 25745-1:2023Producers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</si>
  <si>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The draft Egyptian Standard ES 8754 for "Child use and care articles – carry cots and stands – safety requirements and test methods"</t>
  </si>
  <si>
    <t>Products covered: Equipment for children (ICS code(s): 97.190)This addendum concerns the notification of the draft of the Egyptian Standard ES 8754 for "Child use and care articles – carry cots and stands – safety requirements and test methods"; (40 page(s), in Arabic)It should be noted that the draft of this standard was formerly notified in G/TBT/N/EGY/359 dated 19 June 2023, and also the Ministerial Decree No. 502 /2023 (4 pages, in Arabic) which was formerly notified in G/TBT/N/EGY/359/Add.1 dated 30 January 2024, mandated among others the earlier version of this Standard.Worth mentioning is that this draft standard is technically identical with EN 1466/2023.Producers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</si>
  <si>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Equipment for children (ICS code(s): 97.190)</t>
  </si>
  <si>
    <t>The Egyptian Standard ES 695-1 for "carbon dioxide as fire extinguishing media for fire protection - specification"</t>
  </si>
  <si>
    <t>Products covered: (ICS code(s): 13.220.10) Fire-fighting This addendum concerns the notification of the Ministerial Decree No.444/2024 (1 pages, in Arabic) that gives the producers and importers a six-month transitional period to abide by the Egyptian Standard ES 695-1 for "carbon dioxide as fire extinguishing media for fire protection - specification" (23 page(s), in Arabic)It should be noted that Ministerial Decree No. 423/2005 (25 pages, in Arabic) which was formerly notified in G/TBT/N/EGY/3 dated 14 December 2005 mandated among others the earlier version of this Standard, and the draft of this standard was formerly notified in G/TBT/N/EGY/3/Add.74 dated 2 May 2024.Worth mentioning is that this standard is technically identical with IS 15222/2002 (Reaffirmed 2017).Producers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</si>
  <si>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13.220.10 - Fire-fighting; 91.100 - Construction materials</t>
  </si>
  <si>
    <t>This addendum concerns the notification of the Ministerial Decree No. 447 /2024 (2 pages, in Arabic) that gives the producers and importers a six-month transitional period to abide by the Egyptian Standard ES 2613-2 for "shelf life for food products part: 2 shelf life" (partial amendment in 1 page, in Arabic).It should be noted that the Ministerial Decree No. 100/2019 which was formerly notified in G/SPS/N/EGY/92/Add.1 dated 3 June 2020, the Ministerial Decree No. 653/2020 which was formerly notified in G/SPS/N/EGY/92/Add.2 dated 15 March 2021, the Ministerial Decree No. 222/2021 which was formerly notified in G/SPS/N/EGY/92/Add.3 dated 20 September 2021, the Ministerial Decree No. 522/2021 which was formerly notified in G/SPS/N/EGY/92/Add.4 dated 18 March 2022, the Ministerial Decree No. 393/2022 which was formerly notified in G/SPS/N/EGY/92/Add.5 dated 25 August 2022, the Ministerial Decree No. 233/2023 which was formerly notified in G/SPS/N/EGY/92/Add.6 dated 21 July 2023, the Ministerial Decree No. 361/2024 which was formerly notified in G/SPS/N/EGY/92/Add.7 dated 12 July 2024, the draft of this standard which was formally notified in G/SPS/N/EGY/92/Add.8 dated 5 August 2024, mandated among others the earlier versions and amendments of this Standard.Worth mentioning is that this standard has been partially modified in tables (1), (2) and (3) as follows:The shelf life of plain and flavoured yogurt is 30 days instead of 15 days;The shelf life of beef and buffalo liver is 12 months instead of 7 months;The shelf life of frozen fish is 10 months instead of 6 months.Worth mentioning is that this standard has been formulated according to National Studies and its updates.Producers and importers are kept informed of any amendments in the Egyptian standards through the publication of administrative orders in the official gazette.Proposed date of adoption: 7 September 2024Proposed date of entry into force: 3 October 2024</t>
  </si>
  <si>
    <t>Food safety; Human health; Modification of content/scope of regulation; Human health; Food safety</t>
  </si>
  <si>
    <t>Maximum residue levels for napropamide, pyridaben and tebufenpyrad in or on certain products</t>
  </si>
  <si>
    <t>The proposal notified in G/SPS/N/EU/715 (1 February 2024) is now adopted by Commission Regulation (EU) 2024/2609 of 7 October 2024 amending Annex II to Regulation (EC) No 396/2005 of the European Parliament and of the Council as regards maximum residue levels for napropamide, pyridaben and tebufenpyrad in or on certain products (Text with EEA relevance).The Regulation shall apply from 28 April 2025.</t>
  </si>
  <si>
    <t>0202 - Meat of bovine animals, frozen; 1006 - Rice; 1005 - Maize or corn; 1004 - Oats; 1003 - Barley; 1002 - Rye; 1001 - Wheat and meslin; 10 - CEREALS; 0210 - Meat and edible offal, salted, in brine, dried or smoked; edible flours and meals of meat or meat offal;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02 - MEAT AND EDIBLE MEAT OFFAL; 0201 - Meat of bovine animals, fresh or chilled; 1007 - Grain sorghum; 1008 - Buckwheat, millet, canary seed and other cereals (excl. wheat and meslin, rye, barley, oats, maize, rice and grain sorghum); 0210 - Meat and edible offal, salted, in brine, dried or smoked; edible flours and meals of meat or meat offal;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10 - CEREALS; 02 - MEAT AND EDIBLE MEAT OFFAL; 0201 - Meat of bovine animals, fresh or chilled; 1006 - Rice; 1005 - Maize or corn; 1004 - Oats; 1003 - Barley; 1002 - Rye; 1001 - Wheat and meslin; 1007 - Grain sorghum; 1008 - Buckwheat, millet, canary seed and other cereals (excl. wheat and meslin, rye, barley, oats, maize, rice and grain sorghum)</t>
  </si>
  <si>
    <t>Maximum residue limits (MRLs); Pesticides; Food safety; Human health; Adoption/publication/entry into force of reg.; Pesticides; Maximum residue limits (MRLs); Human health; Food safety</t>
  </si>
  <si>
    <d:r xmlns:d="http://schemas.openxmlformats.org/spreadsheetml/2006/main">
      <d:rPr>
        <d:sz val="11"/>
        <d:rFont val="Calibri"/>
      </d:rPr>
      <d:t xml:space="preserve">https://members.wto.org/crnattachments/2024/SPS/EEC/24_06677_00_e.pdf
https://members.wto.org/crnattachments/2024/SPS/EEC/24_06677_00_f.pdf
https://members.wto.org/crnattachments/2024/SPS/EEC/24_06677_00_s.pdf</d:t>
    </d:r>
  </si>
  <si>
    <t>DUS DARS 1294:2024, Edible insects — Good agricultural practice on cricket farming, First editionNote: This Draft Uganda Standard was also notified to the SPS Committee.</t>
  </si>
  <si>
    <t>This Draft Uganda Standard covers the requirements of good agricultural practices for cricketfarming, to producecrickets of good quality which are safe for human consumption.</t>
  </si>
  <si>
    <t>Prevention of deceptive practices and consumer protection (TBT); Protection of human health or safety (TBT); Protection of animal or plant life or health (TBT); Quality requirements (TBT); Harmonization (TBT); Cost saving and productivity enhancement (TBT)</t>
  </si>
  <si>
    <d:r xmlns:d="http://schemas.openxmlformats.org/spreadsheetml/2006/main">
      <d:rPr>
        <d:sz val="11"/>
        <d:rFont val="Calibri"/>
      </d:rPr>
      <d:t xml:space="preserve">https://members.wto.org/crnattachments/2024/TBT/UGA/24_06658_00_e.pdf</d:t>
    </d:r>
  </si>
  <si>
    <t>Draft of Egyptian standard ES “buoyant aids for swimming instruction part1: safety requirements and test methods for buoyant aids to be worn"</t>
  </si>
  <si>
    <t xml:space="preserve">This draft of Egyptian standard specifies safety and in water performance requirements for construction, sizing, marking and information supplied by the manufacturer for swimming aids intended to ensure a degree of buoyancy to assist beginners with movement through the water while learning to swim or while learning part of a swimming stroke. It also gives methods of test for verification of these requirements._x000D_
This document applies only to swimming devices that are designed to be worn, to be securely attached to the body and which have either inherent buoyancy or can be inflated. It only applies to class B swimming devices intended to introduce the user to the range of swimming strokes._x000D_
It does not apply to class A or class C swimming devices, to pull buoys, swim rings, lifebuoys, buoyancy aids, lifejackets or aquatic toys._x000D_
This document is not applicable for products known as 'baby neck rings' aiming to keep the user's airways above the water level.Worth mentioning is that this draft standard is technically identical with EN 13138-1/2012+AC 2022</t>
  </si>
  <si>
    <t>The Egyptian Standard ES 889-1 for " frozen fish part: 1 quick frozen finfish Uneviscrated and eviscerated “</t>
  </si>
  <si>
    <t>Products covered: ICS 67.120.30  (Fish and fishery productsThis addendum concerns the notification of the Ministerial Decree No.447 /2024 (2 pages, in Arabic) that gives the producers and importers a six-month transitional period to abide by the Egyptian Standard ES 889-1 for " frozen fish part: 1- quick frozen finfish Uneviscrated and eviscerated “(14 pages, in Arabic).It should be noted that Ministerial Decree No. 515 /2005 (10 pages, in Arabic) which was formerly notified in G/TBT/N/EGY/2 dated 14 December 2005, mandated among others the earlier version of this Egyptian Standard.Worth mentioning is that this standard is technical identical with CODEX STAN 36-1981 Adopted in 1981. Revised in 1995, Amended in 2013, Revised in 2017 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</si>
  <si>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DUS DARS 2050:2024, Edible insects— Edible dried caterpillars — Specification, First EditionNote: This Draft Uganda Standard was also notified to the SPS Committee.</t>
  </si>
  <si>
    <t>This Draft Uganda Standard specifies the requirements for sampling and test methods for edible dried caterpillar intended for human consumption.</t>
  </si>
  <si>
    <d:r xmlns:d="http://schemas.openxmlformats.org/spreadsheetml/2006/main">
      <d:rPr>
        <d:sz val="11"/>
        <d:rFont val="Calibri"/>
      </d:rPr>
      <d:t xml:space="preserve">https://members.wto.org/crnattachments/2024/TBT/UGA/24_06613_00_e.pdf</d:t>
    </d:r>
  </si>
  <si>
    <t>Regulation of the Chairman of NADFC RI No 1 Year 2015 concerning Food Category </t>
  </si>
  <si>
    <t xml:space="preserve">Regulation of the Indonesian Food and Drug Authority Number 13 Year 2023 on Food Category is a revision of the Food and Drug Administration of the Republic of Indonesia Regulation No. 34/2019 on Food Category. Some of the new provisions amended in this regulation include:_x000D_
a. Food categorization;_x000D_
b. Use of food raw materials; and_x000D_
c. Assessment of food categories and raw materials that are not currently regulated in this regulation_x000D_
Processed food that has been distributed before the enactment of this regulation shall conform to the provisions of the regulation not later than 30 months after this regulation is enacted.</t>
  </si>
  <si>
    <t>67.040 - Food products in general; 67.040 - Food products in general; 67.060 - Cereals, pulses and derived products; 67.060 - Cereals, pulses and derived products; 67.080 - Fruits. Vegetables; 67.080 - Fruits. Vegetables; 67.100 - Milk and milk products; 67.100 - Milk and milk products; 67.120 - Meat, meat products and other animal produce; 67.120 - Meat, meat products and other animal produce; 67.160 - Beverages; 67.160 - Beverages; 67.180 - Sugar. Sugar products. Starch; 67.180 - Sugar. Sugar products. Starch; 67.200 - Edible oils and fats. Oilseeds; 67.200 - Edible oils and fats. Oilseeds; 67.220 - Spices and condiments. Food additives; 67.220 - Spices and condiments. Food additives; 67.230 - Prepackaged and prepared foods; 67.230 - Prepackaged and prepared foods</t>
  </si>
  <si>
    <d:r xmlns:d="http://schemas.openxmlformats.org/spreadsheetml/2006/main">
      <d:rPr>
        <d:sz val="11"/>
        <d:rFont val="Calibri"/>
      </d:rPr>
      <d:t xml:space="preserve">https://members.wto.org/crnattachments/2024/TBT/IDN/final_measure/24_06611_00_x.pdf</d:t>
    </d:r>
  </si>
  <si>
    <t>Draft of the Egyptian Standard ES 262-3 for “steel for the reinforcement of concrete part: 3 welded fabric“(17 pages, in Arabic).</t>
  </si>
  <si>
    <t>Products covered: ICS: 77.140.15 (Steels for reinforcement of concrete), ICS: 91.080.40 (Concrete structures)This addendum concerns the notification of the draft of the Egyptian Standard ES 262-3 for “steel for the reinforcement of concrete part: 3 welded fabric" (17 pages, in Arabic)It should be noted that the Ministerial Decree no. 535/2015 (2 pages, in Arabic) which was formerly notified in G/TBT/N/EGY/99 dated 24 September 2015, mandated among others the earlier version of this Egyptian Standard.Worth mentioning is that this draft standard is technically identical with ISO 6935-3/2023.Producers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from:National Enquiry Point Egyptian Organization for Standardization and Quality 16 Tadreeb El-Modarrebeen St., Ameriya, Cairo - Egypt E-mail: eos@idsc.net.eg/eos.tbt@eos.org.eg Website: http://www.eos.org.eg Tel: + (202) 22845528 Fax: + (202) 22845504</t>
  </si>
  <si>
    <t>Iron and steel products</t>
  </si>
  <si>
    <d:r xmlns:d="http://schemas.openxmlformats.org/spreadsheetml/2006/main">
      <d:rPr>
        <d:sz val="11"/>
        <d:rFont val="Calibri"/>
      </d:rPr>
      <d:t xml:space="preserve">
</d:t>
    </d:r>
  </si>
  <si>
    <t>Public Hearing to Consider Proposed Amendments to On-Road Motorcycle Emission Standards and Test Procedures and Adoption of New On-Board Diagnostics and Zero-Emission Motorcycle Requirements</t>
  </si>
  <si>
    <t xml:space="preserve">By notice dated 14 November 2023, and published in the 1 December 2023, California Regulatory Notice Register (2023 No. 48-Z), the California Air Resources Board (CARB or Board) announced it would conduct a public hearing to consider approving for adoption the proposed amendments to the On-Road Motorcycle (ONMC) emission standards and test procedures and adoption of new provisions relating to ONMCs under Division 3, Chapter 1, Article 2 (Approval of Motor Vehicle Pollution Control Devices). The hearing was originally scheduled for 25 January 2024, and was postponed by notice on 19 January 2024 (notified as G/TBT/N/USA/2082/Add.1Please Be Advised that the hearing has been scheduled for the following date, time, and location:Date:                 7 November 2024_x000D_
Time:                 2:00 p.m.Pacific Time_x000D_
In-Person Location:          _x000D_
Mary D. Nichols Campus, Southern California Headquarters _x000D_
California Air Resources Board | Haagen-Smit Auditorium_x000D_
4001 Iowa Avenue, Riverside, California 92507_x000D_
_x000D_
Remote Option: Zoom Please consult the public agenda, which will be posted ten days before the 7 November 2024, Board Meeting, for important details, including the order in which this item will be considered and how the public can participate via Zoom if they choose to be remote.The original 45-Day Notice, the Initial Statement of Reasons, and all subsequent regulatory documents are available on CARB’s website for this rulemaking.</t>
  </si>
  <si>
    <d:r xmlns:d="http://schemas.openxmlformats.org/spreadsheetml/2006/main">
      <d:rPr>
        <d:sz val="11"/>
        <d:rFont val="Calibri"/>
      </d:rPr>
      <d:t xml:space="preserve">https://members.wto.org/crnattachments/2024/TBT/USA/24_06679_00_e.pdf</d:t>
    </d:r>
  </si>
  <si>
    <t>The Egyptian Standard ES 8896-1 for " Walk-in cold rooms - Definition, thermal insulation performance and test methods - Part 1: Prefabricated cold room kits”.</t>
  </si>
  <si>
    <t>Products covered: ICS code(s): 97.130.20) (Commercial refrigerating appliances).This addendum concerns the notification of the Ministerial Decree No.445 /2024 (2 pages, in Arabic) that gives the producers and importers a six-month transitional period to abide by the Egyptian Standard ES 8896-1 for " Walk-in cold rooms - Definition, thermal insulation performance and test methods - Part 1: Prefabricated cold room kits"; (54 page(s), in English) “It should be noted the draft of this standard was formerly notified in G/TBT/N/EGY/400 dated   9 February 2024.Worth mentioning is that this Draft standard adopts the technical content of EN 16855-1:2017.Producers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</si>
  <si>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The Egyptian Standard ES 2613-2 for "shelf life for food products part: 2 shelf life" (18 pages, in Arabic) (partial amendment in 1 page, in Arabic).</t>
  </si>
  <si>
    <t>Products covered: ICS: 67.040 (Food products in general)This addendum concerns the notification of the Ministerial Decree No.447 /2024 (2 pages, in Arabic) that gives the producers and importers a six-month transitional period to abide by the Egyptian Standard ES 2613-2 for "shelf life for food products part: 2 shelf life " (18 pages, in Arabic) (partial amendment in 1 page, in Arabic).It should be noted that the Ministerial Decree No. 100/2019 (2 pages, in Arabic) which was formerly notified in G/TBT/N/EGY/212 dated 10 May 2019, Ministerial Decree No.  209/2020  (2 pages,  in Arabic) which was formerly notified in G/TBT/N/EGY/212/Add.1 dated 4 June 2020, Ministerial Decree No. 653/2020 (2 pages, in Arabic) which was formerly notified in G/TBT/N/EGY/212/Add.2 dated 15 March 2021, Ministerial Decree No. 222/2021 (1 page, in Arabic) which was formerly notified in G/TBT/N/EGY/212/Add.3 dated 31 August 2021, Ministerial Decree No. 522/2021 (2 pages, in Arabic) which was formerly notified in G/TBT/N/EGY/212/Add.4 dated 16 February 2022, Ministerial Decree No. 393/2022 (2 pages, in Arabic) which was formerly notified in G/TBT/N/EGY/212/Add.5 dated 22 August 2022, Ministerial Decree No. 233/2023 (2 pages, in Arabic) which was formerly notified in G/TBT/N/EGY/212/Add.6 dated 20 July 2023 and the Ministerial Decree No.361/2024 (2 pages, in Arabic) which was formerly notified in G/TBT/N/EGY/212/Add.7 dated 10 July 2024, mandated among others the earlier versions and amendments of this Standard and the draft of this standard was formerly notified in G/TBT/N/EGY/212/Add.8 dated 1 August 2024.Worth mentioning is that this standard has been partially modified in table (1), table (2), table (3) as the following items:The shelf life of plain and flavoured yogurt is 30 days instead of 15 days.The shelf life of beef and buffalo liver is 12 months instead of 7 months.The shelf life of frozen fish is 10 months instead of 6 months.Worth mentioning is that this standard has been formulated according to National Studies and its updates.Producers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</si>
  <si>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Food products in general ICS: 67.040</t>
  </si>
  <si>
    <t>04 - DAIRY PRODUCE; BIRDS' EGGS; NATURAL HONEY; EDIBLE PRODUCTS OF ANIMAL ORIGIN, NOT ELSEWHERE SPECIFIED OR INCLUDED</t>
  </si>
  <si>
    <t>67.040 - Food products in general; 67.040 - Food products in general; 67.100 - Milk and milk products</t>
  </si>
  <si>
    <t>The Egyptian Standard ES 8539 for" Fertilizers – Marking – Presentation and declarations "; (partial amendment in 1 page, in Arabic).</t>
  </si>
  <si>
    <t>Products covered: Fertilizers (ICS code(s): 65.080)This addendum concerns the notification of the Ministerial Decree No.445/2024 (2 pages, in Arabic) that gives the producers and importers a six-month transitional period to abide by the Egyptian Standard ES 8539 for " Fertilizers – Marking – Presentation and declarations "; (partial amendment in 1 page, in Arabic).It should be noted that the draft of this standard was formerly notified in G/TBT/N/EGY/477 dated        30 May 2024.Worth mentioning is that this standard is technically identical with ISO 7409/2018.This standard has been partially modified in the following items:Item no.(9) labelling, The following data shall be written on the label or containers as follows:9/1/1 "Product name."9/1/2 Type and grade of fertilizer, clause (9/3)9/1/3 Installation, Clause (9/4)9/1/4 Net mass or volume, clause (9/5)9/1/5 Name and address of the person or entity responsible for compiling the data, clause (9/6).9/1/6 Instructions for use, clause (9/7).9/1/7 Warning sentences related to safety, clause (9/8).9/1/8 In the case of a product sold by the Ministry of Agriculture, it must be written "For the Ministry of Agriculture (sponsored)."For examples, see the appendices from Appendix (A) to (E).Annex (B) B/1 Text to be" Application rate: 0.125 to 0.067%, 0.17 kg to 0.33 kg per acre (1 acre = 4046,856 square meters)"Producers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</si>
  <si>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The Egyptian Standard ES 8917 for "Packaging - Requirements and test scheme for carrier bags suitable for treatment in well-managed home composting installations".</t>
  </si>
  <si>
    <t>Products covered: Sacks. Bags (ICS code(s): 55.080)This addendum concerns the notification of the Ministerial Decree No.445 /2024 (2 pages, in Arabic) that gives the producers and importers a six-month transitional period to abide by the Egyptian Standard ES 8917 for "Packaging - Requirements and test scheme for carrier bags suitable for treatment in well-managed home composting installations"; (40 page(s), in Arabic)It should be noted that the draft of this standard was formerly notified in G/TBT/N/EGY/402 dated        9 February 2024.Worth mentioning is that this standard is technically identical with EN 17427:2022Producers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</si>
  <si>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The Egyptian Standard ES 3-15 for “processed feed and raw feed materials part: 15 - green fodder feed stuff “</t>
  </si>
  <si>
    <t>Products covered: (ICS 65.120) Animal feeding stuffs.This addendum concerns the notification of the Ministerial Decree No.447/2024 (2 pages, in Arabic) that gives the producers and importers a six-month transitional period to abide by the Egyptian Standard ES 3-15 “processed feed and raw feed materials part: 15 - green fodder feed stuff “(10 pages, in Arabic).It should be noted that Ministerial Decree No. 130 /2005 (11 pages in Arabic) which was formerly notified in G/TBT/N/EGY/1 dated 14 Dec 2005, mandated among others the earlier version of this Egyptian Standard.Worth mentioning is that this standard complies with:Ministerial Resolution of the Ministry of Agriculture 1498/1996 regarding the regulation,  manufacture, circulation and control of feed.).Animal Nutrition Book (Animal Production Research Institute)Producers and importers are kept informed of any amendments in the Egyptian standard through the publication of administrative orders in the official gazette.Date of adoption: 7 September 2024             Date of entry into force: 3 October 2024Agency or authority designated to handle comments and text available from:National Enquiry Point Egyptian Organization for Standardization and Quality 16 Tadreeb El-Modarrebeen St., Ameriya, Cairo – Egypt E-mail: eos@idsc.net.egeos.tbt@eos.org.egWebsite: http://www.eos.org.eg Tel: + (202) 22845528 Fax: + (202) 22845504</t>
  </si>
  <si>
    <t>The Egyptian Standard ES 1471 for “named animal fats”</t>
  </si>
  <si>
    <t>Products covered: ICS 67.200.10 (Animal and vegetable fats and oils)This addendum concerns the notification of the Ministerial Decree No.447 /2024 (2 pages, in Arabic) that gives the producers and importers a six-month transitional period to abide by the Egyptian Standard ES 1471 for “named animal fats” (11 pages, in Arabic).It should be noted that Ministerial Decree No. 515 /2005 (10 pages, in Arabic) which was formerly notified in G/TBT/N/EGY/2 dated 14 December 2005, mandated among others the earlier version of this Egyptian Standard.Worth mentioning is that this standard is technically identical with CXS 211-1999 Adopted in 1999. Amended in 2009, 2013, 2015, 2019, 2021.Producers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</si>
  <si>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Edible oils and fats. Oil seeds</t>
  </si>
  <si>
    <t xml:space="preserve">This addendum concerns the notification of the Ministerial Decree No.447/2024 (2 pages, in Arabic) that gives the producers and importers a six-month transitional period to abide by the Egyptian Standard ES 7895  for “named vegetable oils” (partial amendment in 1 page, in Arabic).It should be noted that  the Egyptian Standard ES 7985/2013 for "edible vegetable oils "and its Ministerial Decree No. 693 for the year 2015 was formerly notified in G/SPS/N/EGY/65/Rev.1 dated 4 December 2015 and Ministerial decree No. 522/2021 was formally notified in G/SPS/N/EGY/65/Rev.1/Add.1 dated 18 March 2022.This standard is technical identical with Codex Stan. 210/1999 .Revised in 2001, 2003, 2009, 2017, 2019. Amended in 2005, 2011, 2013, 2015, 2019, 2021, 2022, 2023. Adopted in 1999. Revised in 2001, 2003, 2009, 2017, 2019._x000D_
_x000D_
Worth mentioning is that this standard includes a partial amendment in one page, (in Arabic) in the following items:Table 1: Fatty acid composition of vegetable oils as determined by gas liquid chromatography from authentic samples (expressed as percentage of total fatty acids)Sunflower seed oil - change fatty acid (C18:1) to be "14.0- 43.0"- change fatty acid (C18:2) to be "45.4 – 74.0"Table 2: Chemical and physical characteristics of crude vegetable oilsSunflower seed oil - change Refractive index(ND 40ºC)to be “1.461- 1.475”.- change Saponification value (mg KOH/g oil ) to be “187 - 194”.- change Relative density (x ºC/water at 20ºC) to be “0.916-0.923”.Producers and importers are kept informed of any amendments in the Egyptian standards through the publication of administrative orders in the official gazette.Proposed date of adoption: 7 September 2024Proposed date of entry into force: 3 October 2024</t>
  </si>
  <si>
    <t>Edible fats and oil</t>
  </si>
  <si>
    <t>1507 - Soya-bean oil and its fractions, whether or not refined (excl. chemically modified); 1511 - Palm oil and its fractions, whether or not refined (excl. chemically modified); 1512 - Sunflower-seed, safflower or cotton-seed oil and fractions thereof, whether or not refined, but not chemically modified; 1513 - Coconut "copra", palm kernel or babassu oil and fractions thereof, whether or not refined, but not chemically modified; 1514 - Rape, colza or mustard oil and fractions thereof, whether or not refined, but not chemically modified; 1515 - Fixed vegetable fats and oils, incl. jojoba oil, and their fractions, whether or not refined, but not chemically modified (excl. soya-bean, groundnut, olive, palm, sunflower-seed, safflower, cotton-seed, coconut, palm kernel, babassu, rape, colza and mustard oil); 15152 - - Maize (corn) oil and its fractions:; 151550 - Sesame oil and its fractions, whether or not refined, but not chemically modified; 1515 - Fixed vegetable fats and oils, incl. jojoba oil, and their fractions, whether or not refined, but not chemically modified (excl. soya-bean, ground-nut, olive, palm, sunflower-seed, safflower, cotton-seed, coconut, palm kernel, babassu, rape, colza and mustard oil); 1514 - Rape, colza or mustard oil and fractions thereof, whether or not refined, but not chemically modified; 1513 - Coconut "copra", palm kernel or babassu oil and fractions thereof, whether or not refined, but not chemically modified; 1507 - Soya-bean oil and its fractions, whether or not refined (excl. chemically modified); 1512 - Sunflower-seed, safflower or cotton-seed oil and fractions thereof, whether or not refined, but not chemically modified; 1511 - Palm oil and its fractions, whether or not refined (excl. chemically modified); 151550 - Sesame oil and its fractions, whether or not refined, but not chemically modified; 15152 - - Maize (corn) oil and its fractions:</t>
  </si>
  <si>
    <t>Human health; Food safety; Modification of content/scope of regulation; Food safety; Human health</t>
  </si>
  <si>
    <t>Preliminary draft guidelines for the use of the Federal Telecommunications Institute (IFT) seal on type-approved products, equipment, devices or apparatus for telecommunications or broadcasting</t>
  </si>
  <si>
    <t xml:space="preserve">Publication of the Decision of the Plenary Meeting of the Federal Telecommunications Institute amending the provisions issuing the guidelines for the use of the IFT seal on type-approved products, equipment, devices or apparatus for telecommunications or broadcasting. __________  1 This information can be provided by including a website address, a PDF attachment, or other information on where the text of the final measure/change to the measure/interpretative guidance can be obtained.</t>
  </si>
  <si>
    <t>The main objectives of the preliminary draft are: (i) to add an easily recognizable graphic element to marking or labelling, and (ii) to establish mandatory specifications and provisions regarding the use of a seal by type-approval certificate holders, affiliates, subsidiaries and importers as part of the marking or labelling referred to in Chapter IX of the "Guidelines for the type approval of products, equipment, devices or apparatus for telecommunications or broadcasting", published in the Official Journal of the Federation on 29 December 2021.</t>
  </si>
  <si>
    <t>33.050 - Telecommunication terminal equipment; 33.050 - Telecommunication terminal equipment; 33.060.20 - Receiving and transmitting equipment; 33.060.20 - Receiving and transmitting equipment</t>
  </si>
  <si>
    <d:r xmlns:d="http://schemas.openxmlformats.org/spreadsheetml/2006/main">
      <d:rPr>
        <d:sz val="11"/>
        <d:rFont val="Calibri"/>
      </d:rPr>
      <d:t xml:space="preserve">https://members.wto.org/crnattachments/2024/TBT/MEX/final_measure/24_06608_00_s.pdf</d:t>
    </d:r>
  </si>
  <si>
    <t>DUS DARS 1296:2024, Edible insects — Guideline on safety of foods based on edible insects, First edition</t>
  </si>
  <si>
    <t>This Draft Uganda Standard addresses food safety requirements for foods based on edible insects and their products.Note: This Draft Uganda Standard was also notified to the TBT Committee.</t>
  </si>
  <si>
    <d:r xmlns:d="http://schemas.openxmlformats.org/spreadsheetml/2006/main">
      <d:rPr>
        <d:sz val="11"/>
        <d:rFont val="Calibri"/>
      </d:rPr>
      <d:t xml:space="preserve">https://members.wto.org/crnattachments/2024/SPS/UGA/24_06615_00_e.pdf</d:t>
    </d:r>
  </si>
  <si>
    <t>Draft of Egyptian standard for " Fire-fighting pumps - Fire-fighting centrifugal pumps without primer - Part 2: Verification of general and safety requirements"; </t>
  </si>
  <si>
    <t xml:space="preserve">This draft of Egyptian standard covers verification of the general and safety requirements of fire-fighting centrifugal pumps without primer as specified in EN 14710-1:2005+A2._x000D_
NOTE The tests can also be applied to pumps with nominal delivery rates greater than 10 000 l/min._x000D_
This document does not apply to fire-fighting centrifugal pumps without primer that are manufactured before the date of publication by CEN of this document.Worth mentioning is that this Draft standard adopts the technical content of EN 14710-2:2005+A2:2008 </t>
  </si>
  <si>
    <t>13.220.10 - Fire-fighting; 23.080 - Pumps</t>
  </si>
  <si>
    <t>Reglamento Técnico Ecuatoriano RTE 270 (1R) "Guantes de Protección" (First revision (1R) of Ecuadorian Technical Regulation (RTE) No. 270 "Protective Gloves")</t>
  </si>
  <si>
    <t xml:space="preserve">First revision (1R) of Ecuadorian Technical Regulation (RTE) No. 270 "Protective Gloves" The Republic of Ecuador hereby advises that the first revision (1R) of Ecuadorian Technical Regulation (RTE) No. 270 "Protective Gloves" will enter into force on 4 April 2025.  1 This information can be provided by including a website address, a PDF attachment, or other information on where the text of the final measure/change to the measure/interpretative guidance can be obtained. G/TBT/N/ECU/545/Add.1 - 2 -   It should be noted that, with respect to this Regulation, Ecuador has followed all the transparency and notification guidelines determined by the WTO. Thus, on 2 July 2024, in document G/TBT/N/ECU/545, the draft first revision (1R) of Ecuadorian Technical Regulation (PRTE) No. 270 "Protective Gloves" was notified for 60 days on the WTO ePing platform for comments. Ministerio de Producción, Comercio Exterior, Inversiones y Pesca, MPCEIP (Ministry of Production, Foreign Trade, Investment and Fisheries) Subsecretaría de la Calidad (Under-Secretariat for Quality) TBT enquiry point: Primary enquiry point: Patricio Fernando Alvarez Chávez Secondary enquiry point: Cristian Eduardo Yépez Jaramillo Plataforma Gubernamental de Gestión Financiera; Av. Amazonas entre Unión Nacional de Periodistas y Alfonso Pereira Piso 8 Bloque amarillo Quito EC170522 Tel.: (+593 2) 394 8760; Ext. 2254; Ext. 2252 Email: puntocontacto-otcecu@produccion.gob.ec; puntocontactoecu@gmail.com; palvarezc@produccion.gob.ec; cyepez@produccion.gob.ec Website: http://www.produccion.gob.ec __________</t>
  </si>
  <si>
    <t>Artículos de plástico y manufacturas de las demás materias de las partidas 3901 a 3914, ncop (exc. productos de 9619) (Código(s) del SA: 392690); Guantes, manoplas y manoplas, de caucho vulcanizado (exc. ??de los tipos utilizados para uso médico, quirúrgico, odontológico o veterinario) (Código(s) del SA: 401519); Prendas de vestir y demás complementos "accesorios" de vestir, para cualquier uso, de caucho vulcanizado sin endurecer (exc. calzado, artículos de sombrerería y sus partes, así como los guantes, mitones y manoplas) (Código(s) del SA: 401590); Prendas de vestir, de cuero natural o cuero regenerado (exc. complementos "accesorios" de vestir, calzado y artículos de sombrerería, así como espinilleras, máscaras de esgrima y demás artículos del capítulo 95) (Código(s) del SA: 420310); Guantes, mitones y manoplas, de cuero natural cuero regenerado (exc. concebidos especialmente para la práctica del deporte) (Código(s) del SA: 420329); Complementos "accesorios" de vestir, de cuero natural cuero regenerado (exc. guantes, mitones y manoplas, cintos, cinturones y bandoleras, calzado y artículos de sombrerería y sus partes, así como espinilleras, máscaras de esgrima y demás artículos del capítulo 95) (Código(s) del SA: 420340)</t>
  </si>
  <si>
    <t>392690 - Articles of plastics and articles of other materials of heading 3901 to 3914, n.e.s (excl. goods of 9619); 401519 - Gloves, mittens and mitts, of vulcanised rubber (excl. of a kind used for medical, surgical, dental or veterinary purposes); 401590 - Articles of apparel and clothing accessories, for all purposes, of vulcanised rubber (excl. hard rubber and footwear and headgear and parts thereof, and gloves, mittens and mitts); 420310 - Articles of apparel, of leather or composition leather (excl. clothing accessories, footware and headgear and parts thereof, and goods of chapter 95, e.g. shin guards, fencing masks); 420329 - Gloves, mittens and mitts, of leather or composition leather (excl. special sports gloves); 420340 - Clothing accessories of leather or composition leather (excl. gloves, mittens and mitts, belts, bandoliers, footware and headgear and parts thereof, and goods of chapter 95 [e.g. shin guards, fencing masks]); 401590 - Articles of apparel and clothing accessories, for all purposes, of vulcanised rubber (excl. hard rubber and footwear and headgear and parts thereof, and gloves, mittens and mitts); 401519 - Gloves, mittens and mitts, of vulcanised rubber (excl. of a kind used for medical, surgical, dental or veterinary purposes); 392690 - Articles of plastics and articles of other materials of heading 3901 to 3914, n.e.s (excl. goods of 9619); 420310 - Articles of apparel, of leather or composition leather (excl. clothing accessories, footware and headgear and parts thereof, and goods of chapter 95, e.g. shin guards, fencing masks); 420329 - Gloves, mittens and mitts, of leather or composition leather (excl. special sports gloves); 420340 - Clothing accessories of leather or composition leather (excl. gloves, mittens and mitts, belts, bandoliers, footware and headgear and parts thereof, and goods of chapter 95 [e.g. shin guards, fencing masks])</t>
  </si>
  <si>
    <t>13.340.40 - Hand and arm protection; 13.340.40 - Hand and arm protection</t>
  </si>
  <si>
    <d:r xmlns:d="http://schemas.openxmlformats.org/spreadsheetml/2006/main">
      <d:rPr>
        <d:sz val="11"/>
        <d:rFont val="Calibri"/>
      </d:rPr>
      <d:t xml:space="preserve">https://members.wto.org/crnattachments/2024/TBT/ECU/24_06683_00_s.pdf</d:t>
    </d:r>
  </si>
  <si>
    <t>DUS DARS 2050:2024, Edible insects — Edible dried caterpillars — Specification, First edition</t>
  </si>
  <si>
    <t>This Draft Uganda Standard specifies the requirements for sampling and test methods for edible dried caterpillar intended for human consumption.Note: This Draft Uganda Standard was also notified to the TBT Committee.</t>
  </si>
  <si>
    <d:r xmlns:d="http://schemas.openxmlformats.org/spreadsheetml/2006/main">
      <d:rPr>
        <d:sz val="11"/>
        <d:rFont val="Calibri"/>
      </d:rPr>
      <d:t xml:space="preserve">https://members.wto.org/crnattachments/2024/SPS/UGA/24_06614_00_e.pdf</d:t>
    </d:r>
  </si>
  <si>
    <t>DUS DARS 1295:2024, Edible insects— Good hygiene practices for insect farming and processing — Code of practice, First editionNote: This Draft Uganda Standard was also notified to the SPS Committee.</t>
  </si>
  <si>
    <t>This Draft Uganda Standard covers the production of insects destined for human consumption and encompasses all production steps, from the feeding of the insects, their breeding, the killing and other processing steps, storage, transport or retail activities, to the final delivery of the product to consumers.</t>
  </si>
  <si>
    <t>Consumer information, labelling (TBT); Prevention of deceptive practices and consumer protection (TBT); Protection of human health or safety (TBT); Protection of animal or plant life or health (TBT); Quality requirements (TBT); Harmonization (TBT); Cost saving and productivity enhancement (TBT)</t>
  </si>
  <si>
    <d:r xmlns:d="http://schemas.openxmlformats.org/spreadsheetml/2006/main">
      <d:rPr>
        <d:sz val="11"/>
        <d:rFont val="Calibri"/>
      </d:rPr>
      <d:t xml:space="preserve">https://members.wto.org/crnattachments/2024/TBT/UGA/24_06676_00_e.pdf</d:t>
    </d:r>
  </si>
  <si>
    <t>List of third countries or regions thereof authorised for the entry into the Union of certain animals and products of animal origin intended for human consumption in accordance with Regulation (EU) 2017/625 of the European Parliament and of the Council as regards the application of the prohibition on the use of certain antimicrobial medicinal products</t>
  </si>
  <si>
    <t>The proposal notified in G/SPS/N/EU/778 (28 June 2024) is now adopted by Commission Implementing Regulation (EU) 2024/2598 of 4 October 2024 laying down the list of third countries or regions thereof authorised for the entry into the Union of certain animals and products of animal origin intended for human consumption in accordance with Regulation (EU) 2017/625 of the European Parliament and of the Council as regards the application of the prohibition on the use of certain antimicrobial medicinal products (Text with EEA relevance).This Regulation shall apply from 3 September 2026.</t>
  </si>
  <si>
    <t>Food-producing animals and products derived therefrom intended for human consumption</t>
  </si>
  <si>
    <t>Protect humans from animal/plant pest or disease (SPS)</t>
  </si>
  <si>
    <t>Adoption/publication/entry into force of reg.; Human health; Human health</t>
  </si>
  <si>
    <d:r xmlns:d="http://schemas.openxmlformats.org/spreadsheetml/2006/main">
      <d:rPr>
        <d:sz val="11"/>
        <d:rFont val="Calibri"/>
      </d:rPr>
      <d:t xml:space="preserve">https://members.wto.org/crnattachments/2024/SPS/EEC/24_06650_00_e.pdf
https://members.wto.org/crnattachments/2024/SPS/EEC/24_06650_00_f.pdf
https://members.wto.org/crnattachments/2024/SPS/EEC/24_06650_00_s.pdf</d:t>
    </d:r>
  </si>
  <si>
    <t>United Kingdom Border Target Operating Model – Plants, plant products and other objects</t>
  </si>
  <si>
    <t>G/SPS/N/GBR/30/Add.4 of 12 February 2024 notified a delay to the introduction of import checks on fruit and vegetables from the European Union, Liechtenstein and Switzerland.Legislation that is due to be adopted on 30 October 2024 will set the requirement for checks on fruit and vegetables from the European Union, Liechtenstein and Switzerland to commence on 1 July 2025. It will also include Swansea Port in the list of West Coast Ports to the definition of 'relevant ports' in Annex 6 of the assimilated Regulation (EU) 2017/625. The requirement for import checks on all plants, plant products and other objects from the European Union, Liechtenstein and Switzerland at West Coast Ports will commence on 1 July 2025, with a temporary extension of the current easement until this time.The legislation is available to view on legislation.gov.uk</t>
  </si>
  <si>
    <t>All products of plant and animal origin and derivatives products thereof</t>
  </si>
  <si>
    <t>Human health; Animal health; Plant health; Food safety; Territory protection; Animal diseases; Change in date of adoption/publication/entry into force; Adoption/publication/entry into force of reg.; Animal diseases; Territory protection; Food safety; Plant health; Animal health; Human health</t>
  </si>
  <si>
    <t>Draft of Egyptian standard for " Pump system energy assessment"; </t>
  </si>
  <si>
    <t>This draft of Egyptian standard specifies requirements for conducting and reporting the results of a pumping system energy assessment (hereafter referenced as "assessment") that considers the entire pumping system, from energy inputs to the work performed as the result of these inputs.The objective of a pumping system energy assessment is to determine the current energy consumption of an existing system and identify ways to improve system efficiency.Worth mentioning is that this Draft standard adopts the technical content of ISO/ASME 14414:2019</t>
  </si>
  <si>
    <t>Pumps (ICS code(s): 23.080)</t>
  </si>
  <si>
    <t>23.080 - Pumps</t>
  </si>
  <si>
    <t>Tomato brown rugose fruit virus is currently regulated under Regulation (EU) 2022/1032 which provides for temporary measures to prevent its introduction into and its spread within the Union. Based on recent scientific and technical data, ToBRFV complies now with the criteria for EU regulated non-quarantine pests. Therefore, new measures to prevent the presence of the virus on plants for planting (including seeds), and frequency rates of official controls are being established.</t>
  </si>
  <si>
    <d:r xmlns:d="http://schemas.openxmlformats.org/spreadsheetml/2006/main">
      <d:rPr>
        <d:sz val="11"/>
        <d:rFont val="Calibri"/>
      </d:rPr>
      <d:t xml:space="preserve">https://members.wto.org/crnattachments/2024/SPS/EEC/24_06612_01_e.pdf
https://members.wto.org/crnattachments/2024/SPS/EEC/24_06612_00_e.pdf</d:t>
    </d:r>
  </si>
  <si>
    <t>The Ministerial Decree No. 446/2024 (1 page(s), in Arabic) mandating the Egyptian Standard ES 3018-1 for " caviar and other fish egg- part 1:sturgeon caviar "; </t>
  </si>
  <si>
    <t>The Ministerial Decree No. 446/2024 gives the producers and importers a six-month transitional period to abide by the Egyptian standard ES 3018-1 which applies to granular sturgeon caviar of the fish of the Acipenseridae family.Worth mentioning is that this standard is technically identical with Codex Standard No. 291/2010 amended in 2013,2018.</t>
  </si>
  <si>
    <t>Fish and fishery products (ICS code(s): 67.120.30)</t>
  </si>
  <si>
    <t>160431 - Caviar</t>
  </si>
  <si>
    <t>The Ministerial Decree No. 446/2024 (1 page(s), in Arabic) mandating the Egyptian Standard ES 3018-2 for “ caviar and other fish eggs - part 2: roe/ caviar substitutes ”</t>
  </si>
  <si>
    <t>The Ministerial Decree No. 446/2024 gives the producers and importers a six-month transitional period to abide by the Egyptian standard ES 3018-2 which applies to granular sturgeon caviar of the fish of the Acipenseridae family.Worth mentioning is that this standard has been formulated according to National Studies.</t>
  </si>
  <si>
    <t>160432 - Caviar substitutes prepared from fish eggs</t>
  </si>
  <si>
    <t>The Ministerial Decree No. 447/2024 gives the producers and importers a six-month transitional period to abide by the Egyptian Standard ES 50-2 for "Hydrogenated Oils and Margarine - part: 2 - Hydrogenated Vegetable Oils".Worth mentioning is that this standard has been formulated according to National Studies.</t>
  </si>
  <si>
    <t>151620 - Vegetable fats and oils and their fractions, partly or wholly hydrogenated, inter-esterified, re-esterified or elaidinised, whether or not refined, but not further prepared</t>
  </si>
  <si>
    <t>DUS DARS 1293:2024, Insect products for animal feeds — Code of good practice in production, processing and use in animal feeding, First edition</t>
  </si>
  <si>
    <t>This Draft Uganda Standard covers insect production, processing, placing on the market and use in animal feeding.Note: This Draft Uganda Standard was also notified to the TBT Committee.</t>
  </si>
  <si>
    <d:r xmlns:d="http://schemas.openxmlformats.org/spreadsheetml/2006/main">
      <d:rPr>
        <d:sz val="11"/>
        <d:rFont val="Calibri"/>
      </d:rPr>
      <d:t xml:space="preserve">https://members.wto.org/crnattachments/2024/SPS/UGA/24_06695_00_e.pdf</d:t>
    </d:r>
  </si>
  <si>
    <t>The Egyptian Standard ES 8898 for “Multiple split-system air conditioners and air-to-air heat pumps — Testing and rating for performance “.</t>
  </si>
  <si>
    <t>Products covered: (ICS code(s): 23.120) (Ventilators. Fans. Air-conditioners)  (ICS code(s): 27.080) (Heat pumps).This addendum concerns the notification of the Ministerial Decree No.445 /2024 (2 pages, in Arabic) that gives the producers and importers a six-month transitional period to abide by the Egyptian Standard ES 8898 for “Multiple split-system air conditioners and air-to-air heat pumps — Testing and rating for performance "; (102 page(s), in English).It should be noted the draft of this standard was formerly notified in G/TBT/N/EGY/406 dated 9 February 2024.Worth mentioning is that this standard adopts the technical content of ISO 15042: 2017/AMD 1: 2020Producers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</si>
  <si>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The Egyptian Standard ES 8899 for" Performance Rating of Computer and Data Processing Room Air Conditioners "; (67 page(s), in English) “.</t>
  </si>
  <si>
    <t>Products covered: (ICS code(s): 27.200) (Refrigerating technology).This addendum concerns the notification of the Ministerial Decree No.445 /2024 (2 pages, in Arabic) that gives the producers and importers a six-month transitional period to abide by the Egyptian Standard ES 8899 for" Performance Rating of Computer and Data Processing Room Air Conditioners "; (67 page(s), in English) “.It should be noted that the draft of this standard was formerly notified in G/TBT/N/EGY/404 dated 9 February 2024.Worth mentioning is that this standard adopts the technical content of AHRI Standard 1361:2022.Producers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</si>
  <si>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Draft of Egyptian standard for " Pumps. Rotodynamic pumps. Minimum required efficiency of water pumps and determination of Minimum Efficiency Index (MEI)"; </t>
  </si>
  <si>
    <t>This draft of Egyptian standard specifies performance requirements (methods and procedures for testing and calculating) for determining the Minimum Efficiency Index (MEI) of rotodynamic glanded water pumps for pumping clean water, including where integrated in other products.The pump types and sizes covered by this document are described in the Annex A. These pumps are designed and produced as duty pumps for pressures up to 16 bar for end suction pumps and up to 25 bar for multistage pumps, for all pumps designed for fluid temperatures between -10 °C and +120 °C. Also covered are 4” (10,16 cm) and 6” (15,24 cm) submersible multistage pumps designed for fluid temperatures between 0 °C and 90 °C.Worth mentioning is that this Draft standard adopts the technical content of BS EN 16480:2021</t>
  </si>
  <si>
    <t>The Egyptian Standard ES 7985 for "named vegetable oils “(partial amendment in 1 page, in Arabic).    </t>
  </si>
  <si>
    <t>Products covered: ICS: 67.200.10 (Animal and vegetable fats and oils).This addendum concerns the notification of the Ministerial Decree No.447 /2024 (2 pages, in Arabic) that gives the producers and importers a six-month transitional period to abide by the Egyptian Standard ES 7985 for "named vegetable oils “(partial amendment in 1 page, in Arabic). It should be noted that the draft of this standard was formerly notified in G/TBT/N/EGY/88 dated 21 August 2015, and also the Ministerial Decree No. 403/2018 (2 pages, in Arabic) which was formerly notified in G/TBT/N/EGY/88/Rev.1/Add.1 dated 4 September 2018, and the Ministerial Decree No. 522/2021 (2 pages in Arabic) which was formerly notified in G/TBT/N/EGY/88/Rev.1/Add.2 dated 16 February 2022, mandated among others the earlier versions of this Standard. Worth mentioning is that this standard is technically identical with CODEX Stan. 210/1999 Adopted in 1999. Revised in 2001, 2003, 2009, 2017, 2019. Amended in 2005, 2011, 2013, 2015, 2019, 2021, 2022, 2023.Worth mentioning is that this standard is (partial amendment in 1 page, in Arabic) in the following items:Table 1: Fatty acid composition of vegetable oils as determined by gas liquid chromatography from authentic samples, (expressed as percentage of total fatty acids)Sunflower seed oil - change fatty acid (C18:1) to be "14.0- 43.0"- change fatty acid (C18:2) to be "45.4 – 74.0"Table 2: Chemical and physical characteristics of crude vegetable oilsSunflower seed oil - change Refractive index (ND 40ºC) to be “1.461- 1.475”.- change Saponification value (mg KOH/g oil) to be “187 - 194”.- change Relative density (x ºC/water at 20ºC) to be “0.916-0.923”.Producers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</si>
  <si>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The Egyptian Standard ES 8919 for " non-woven plastic shopping sacks ".</t>
  </si>
  <si>
    <t>Products covered: Sacks. Bags (ICS code(s): 55.080)This addendum concerns the notification of the Ministerial Decree No.445/2024 (2 pages, in Arabic) that gives the producers and importers a six-month transitional period to abide by the Egyptian Standard ES 8919 for " non-woven plastic shopping sacks "; (16 page(s), in Arabic)It should be noted that the draft of this standard was formerly notified in G/TBT/N/EGY/464 dated        4 April 2024.Worth mentioning is that this standard complies with the following :Uganda Standard (US) 2244: 2020 KNWA 2884:2019TZS 2303: 2020Producers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</si>
  <si>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Energy Conservation Program: Energy Conservation Standards for Consumer Clothes Dryers</t>
  </si>
  <si>
    <t xml:space="preserve">The U.S. Department of Energy ("DOE") published a direct 
final rule to establish amended energy conservation standards for 
consumer clothes dryers in the Federal Register on 12 March 2024 (notified as G/TBT/N/USA/1911/Add.1). DOE 
has determined that the comments received in response to the direct 
final rule do not provide a reasonable basis for withdrawing the direct 
final rule. Therefore, DOE provides this document confirming the 
effective and compliance dates of those standards. This document also 
clarifies the introductory notes to the appendices for the consumer 
dryer test procedure to conform with the amended standards promulgated 
by direct final rule published on 12 March 2024.&gt;The technical correction in this document is effective 8 October 2024. The effective date of 10 July 2024 for the direct final rule 
published on 12 March 2024 (89 FR 18164) is confirmed. Compliance with 
the standards established in the direct final rule will be required on 1 March 2028.89 Federal Register (FR) 81295, 8 October 2024; Title 10 Code of Federal Regulations (CFR) Part 430_x000D_
https://www.govinfo.gov/content/pkg/FR-2024-10-08/html/2024-23257.htm_x000D_
https://www.govinfo.gov/content/pkg/FR-2024-10-08/pdf/2024-23257.pdf_x000D_
This action and other actions notified under the symbol G/TBT/N/USA/1911 are identified by Docket Number EERE-2014-BT-STD-0058. The Docket Folder is available from Regulations.gov at https://www.regulations.gov/docket/EERE-2014-BT-STD-0058/document and provides access to primary and supporting documents as well as comments received. Documents are also accessible from Regulations.gov by searching the Docket Number. _x000D_
_x000D_
</t>
  </si>
  <si>
    <t>Consumer clothes dryers; Centrifuges, incl. centrifugal dryers (excl. those for isotope separation); filtering or purifying machinery and apparatus, for liquids or gases; parts thereof (excl. artificial kidneys) (HS code(s): 8421); Environmental protection (ICS code(s): 13.020); Energy efficiency. Energy conservation in general (ICS code(s): 27.015); Laundry appliances (ICS code(s): 97.060)</t>
  </si>
  <si>
    <t>8421 - Centrifuges, incl. centrifugal dryers (excl. those for isotope separation); filtering or purifying machinery and apparatus, for liquids or gases; parts thereof (excl. artificial kidneys); 8421 - Centrifuges, incl. centrifugal dryers (excl. those for isotope separation); filtering or purifying machinery and apparatus, for liquids or gases; parts thereof (excl. artificial kidneys)</t>
  </si>
  <si>
    <t>13.020 - Environmental protection; 97.060 - Laundry appliances; 13.020 - Environmental protection; 27.015 - Energy efficiency. Energy conservation in general; 27.015 - Energy efficiency. Energy conservation in general; 97.060 - Laundry appliances</t>
  </si>
  <si>
    <d:r xmlns:d="http://schemas.openxmlformats.org/spreadsheetml/2006/main">
      <d:rPr>
        <d:sz val="11"/>
        <d:rFont val="Calibri"/>
      </d:rPr>
      <d:t xml:space="preserve">https://members.wto.org/crnattachments/2024/TBT/USA/final_measure/24_06681_00_e.pdf
https://members.wto.org/crnattachments/2024/TBT/USA/24_06681_01_e.pdf</d:t>
    </d:r>
  </si>
  <si>
    <t>the Egyptian standard ES 8441 "Eco-design requirements for water pumps energy efficiency” </t>
  </si>
  <si>
    <t xml:space="preserve">Products covered: ICS Pumps (ICS 23.080). This addendum concerns the notification of the Ministerial Decree No. 445/2024 (2 pages, in Arabic) that gives the producers and importers twelve-month transitional period to abide Egyptian standard ES 8441 "Eco-design requirements for water pumps energy efficiency” (17 page(s), in Arabic).It should be noted that the Ministerial Decree No. 221 /2021 (2 pages, in Arabic) which was formerly notified in G/TBT/N/EGY/ 312 dated 22 November 2021, mandated among others the earlier version of this Standard.Worth mentioning is that this standard is harmonized with the technical requirements of the European Directive and European union programs as following [1] COMMISSION REGULATION (EU) No 547/2012 of 25 June 2012.[2] European Commission Intelligent Energy Program.Producers and importers are kept informed of any amendments in the Egyptian Standards through the publication of administrative orders in the official gazette.Proposed date of adoption: 7 September 2024.Proposed date of entry into force: 3 October 2024.Agency or authority designated to handle comments and text available from:National Enquiry Point_x000D_
Egyptian Organization for Standardization and Quality_x000D_
16 Tadreeb El-Modarrebeen St., Ameriya, Cairo – Egypt_x000D_
E-mail: eos@idsc.net.egeos.tbt@eos.org.eg_x000D_
Website: http://www.eos.org.eg_x000D_
Tel: + (202) 22845528_x000D_
Fax: + (202) 22845504</t>
  </si>
  <si>
    <t>23.080 - Pumps; 23.080 - Pumps</t>
  </si>
  <si>
    <t>Ministerial Decree No. 446/2024 mandating the Egyptian Standard ES 3018-2 for “caviar and other fish eggs - part 2: roe/caviar substitutes”</t>
  </si>
  <si>
    <t>The Ministerial Decree No. 446/2024 gives the producers and importers a six-month transitional period to abide by the Egyptian Standard ES 3018-2 for "caviar and other fish eggs - part 2: roe/caviar substitutes".Worth mentioning is that this standard has been formulated according to National Studies.</t>
  </si>
  <si>
    <t>Ministerial Decree No. 446/2024 mandating the Egyptian Standard ES 3018-1 for “caviar and other fish egg - part 1: sturgeon caviar”</t>
  </si>
  <si>
    <t>The Ministerial Decree No. 446/2024 gives the producers and importers a six-month transitional period to abide by the Egyptian standard ES 3018-1 which applies to granular sturgeon caviar of the fish of the Acipenseridae family.</t>
  </si>
  <si>
    <t>Resolución para regular la importación de semillas para siembra de Gandul (Cajanus cajan) originarias de India (Resolution governing the importation of pigeon pea (Cajanus cajan) seeds for sowing originating in India) Costa Rica hereby advises that the phytosanitary measures notified in document G/SPS/N/CRI/279 have been adopted under Resolution No. 068-2024-CV-ARP-SFE of the State Phytosanitary Service, Standards and Regulations Department, Pest Risk Analysis Unit, establishing phytosanitary requirements for the importation of pigeon pea (Cajanus cajan) seeds for sowing originating in India. The draft Resolution was circulated on 1 August 2024. The date of entry into force will be six months after signature of the final Resolution. https://members.wto.org/crnattachments/2024/SPS/CRI/24_06682_00_s.pdf</t>
  </si>
  <si>
    <t>Cajanus cajan (HS code(s): 071360)</t>
  </si>
  <si>
    <t>071360 - Dried, shelled pigeon peas "Cajanus cajan", whether or not skinned or split; 071360 - Dried, shelled pigeon peas "Cajanus cajan", whether or not skinned or split</t>
  </si>
  <si>
    <d:r xmlns:d="http://schemas.openxmlformats.org/spreadsheetml/2006/main">
      <d:rPr>
        <d:sz val="11"/>
        <d:rFont val="Calibri"/>
      </d:rPr>
      <d:t xml:space="preserve">https://members.wto.org/crnattachments/2024/SPS/CRI/24_06682_00_s.pdf</d:t>
    </d:r>
  </si>
  <si>
    <t>DUS DARS 1294:2024, Edible insects — Good agricultural practice on cricket farming, First edition</t>
  </si>
  <si>
    <t>This Draft Uganda Standard covers the requirements of good agricultural practices for cricket farming, to produce crickets of good quality which are safe for human consumption.Note: This Draft Uganda Standard was also notified to the TBT Committee.</t>
  </si>
  <si>
    <d:r xmlns:d="http://schemas.openxmlformats.org/spreadsheetml/2006/main">
      <d:rPr>
        <d:sz val="11"/>
        <d:rFont val="Calibri"/>
      </d:rPr>
      <d:t xml:space="preserve">https://members.wto.org/crnattachments/2024/SPS/UGA/24_06657_00_e.pdf</d:t>
    </d:r>
  </si>
  <si>
    <t>The Egyptian Standard ES 7650 for "General standard for fruit juices and nectars"</t>
  </si>
  <si>
    <t>Products covered: ICS 67.080.20 (Vegetables and derived products)     This addendum concerns the notification of the Ministerial Decree No.447 /2024 (2 pages, in Arabic) that gives the producers and importers a six-month transitional period to abide by the Egyptian Standard ES 7650 for "General standard for fruit juices and nectars"  (21 pages, Arabic) . It should be noted that Ministerial Decree No. 135/2014 which was formerly notified in G/TBT/N/EGY/60 dated 6 May 2014 mandated among others the earlier version of this Egyptian Standard and the extension of the transitional period provided to comply with ES 7650/2013 has been notified in G/TBT/N/EGY/60/Add.1 dated 25 August 2015.Worth mentioning is that this standard is technically identical with Codex Standard No.247/2005 Adopted in 2005. Amended in 2022. Producers and importers are kept informed of any amendments in the Egyptian standard through the publication of administrative orders in the official gazette.Proposed date of adoption: 7 September 2024.       Proposed date of entry into force: 3 October 2024.Agency or authority designated to handle comments and text available from:National Enquiry Point Egyptian Organization for Standardization and Quality16 Tadreeb El-Modarrebeen St., Ameriya, Cairo – EgyptE-mail: eos@idsc.net.egeos.tbt@eos.org.egWebsite: http://www.eos.org.egTel: + (202) 22845528Fax: + (202) 22845504</t>
  </si>
  <si>
    <t xml:space="preserve">light  Emitting Diode (LED) ,ICS: 29.140.99</t>
  </si>
  <si>
    <t>67.080 - Fruits. Vegetables; 67.080 - Fruits. Vegetables; 67.160.20 - Non-alcoholic beverages; 67.160.20 - Non-alcoholic beverages</t>
  </si>
  <si>
    <t>The Egyptian Standard ES 6010 for “lifts for the transport of persons and goods- T-type guide rails for lift cars and counterweights”</t>
  </si>
  <si>
    <t>Products covered: ICS: 91.140.90 (Lifts. Escalators)The Ministerial Decree No.444/2024 (1 page, in Arabic) that gives the producers and importers a twelve –month transitional period to abide by the Egyptian Standard ES 6010 for "lifts for the transport of persons and goods-T-type guide rails for lift cars and counterweights "(27 pages, in Arabic).It should be noted that the Ministerial Decree No. 609 /2020 " (3 pages, in Arabic) which was formerly notified in G/TBT/N/EGY/290 dated 30 march 2021 mandated among others the earlier versions and amendments of this Standard, and the draft of the standard was formerly notified in G/TBT/N/EGY/290/Add.1 dated 1 August 2024,  .Worth mentioning is that this standard is technically identical with ISO 8100-33/2022.Producers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</si>
  <si>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The Egyptian Standard ES 4624/2024 " Safety requirements for bonded abrasive products “</t>
  </si>
  <si>
    <t>Products covered: Abrasives (ICS code(s): 25.100.70).This addendum concerns the notification of the Ministerial Decree No.444 /2024 (1 pages, in Arabic) that gives the producers and importers a twelve-month transitional period to abide by the Egyptian Standard ES 4624/2024 " Safety requirements for bonded abrasive products “(65 page(s), in Arabic) It should be noted the draft of this standard was formerly notified in G/TBT/N/EGY/467dated          2 May 2024.Worth mentioning is that this standard is technically identical with EN 12413:2019Producers and importers are kept informed of any amendments in the Egyptian standards through the publication of administrative orders in the official gazette.Date of adoption: 7 September 2024Date of entry into force: 3 October 2024Agency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</si>
  <si>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Abrasives (ICS code(s): 25.100.70)</t>
  </si>
  <si>
    <t>25.100.70 - Abrasives; 25.100.70 - Abrasives</t>
  </si>
  <si>
    <t>The Egyptian Standard ES 465-3 for "cocoa and its products part 3: chocolate " (partial amendment in 1 page, in Arabic).</t>
  </si>
  <si>
    <t>Products covered: (ICS: 67.190) Chocolate.This addendum concerns the notification of the Ministerial Decree No.447 /2024 (2 page, in Arabic) that gives the producers and importers a six-month transitional period to abide by the Egyptian Standard ES 465-3"cocoa and its products part 3: chocolate " (partial amendment in 1 page, in Arabic).It should be noted that Ministerial Decree No. 395 /2022 (2 pages in Arabic) which was formerly notified in G/TBT/N/EGY/328 dated 6 September 2022, mandated among others the earlier version of this Egyptian Standard.Worth mentioning is that this standard is technically identical to CODEX STAN 87 - 1981 standard for chocolate and chocolate products, adopted in 1981, Revision in 2003, Amendment in 2016.Worth mentioning is that this standard is (partial amendment in 1 page, in Arabic): cancelling the item no. 5/2/3 "In case that permitted artificial sweeteners (sugar substitutes) are used, the approval of the competent authorities is required. The Registration number should be reflected on the label”.Producers and importers are kept informed of any amendments in the Egyptian standard through the publication of administrative orders in the official gazette.Date of adoption: 7 September 2024     Date of entry into force: 3 October 2024Agency or authority designated to handle comments and text available from:National Enquiry Point Egyptian Organization for Standardization and Quality 16 Tadreeb El-Modarrebeen St., Ameriya, Cairo – Egypt E-mail: eos@idsc.net.egeos.tbt@eos.org.egWebsite: http://www.eos.org.eg Tel: + (202) 22845528 Fax: + (202) 22845504</t>
  </si>
  <si>
    <t xml:space="preserve">Modernization of Passenger Information Requirements Relating to “No Smoking” Sign Illumination; Correction; Confirmation of Effective 
Date</t>
  </si>
  <si>
    <t xml:space="preserve">This action confirms the 22 October 2024, effective date of the Modernization of Passenger Information Requirements Relating to “No Smoking” Sign Illumination direct final rule published on 23 August 2024 (notified as G/TBT/N/USA/2140), and responds to the comments received on that direct final rule. This document also corrects the authority citation for a Code of Federal Regulations part revised in the direct final rule.The effective date of 22 October 2024, for the direct final rule published 23 August 2024 (89 FR 68094) is confirmed. The correction to the direct final rule published 23 August 2024 (89 FR 68094), is effective 22 October 2024.89 Federal Register (FR) 81313, 23 August 2024; Title 14 Code of Federal Regulations (CFR) Parts 2591121, and 125_x000D_
https://www.govinfo.gov/content/pkg/FR-2024-10-08/html/2024-23136.htm_x000D_
https://www.govinfo.gov/content/pkg/FR-2024-10-08/pdf/2024-23136.pdfThis direct final rule; correction; confirmation of effective date and the direct final rule; request for comments notified as G/TBT/N/USA/2140 are identified by Docket Number FAA-2024-2052. The Docket Folder is available on Regulations.gov at https://www.regulations.gov/docket/FAA-2024-2052/document and provides access to primary documents as well as comments received. Documents are also accessible from Regulations.gov by searching the Docket Number. </t>
  </si>
  <si>
    <t>Aircraft no smoking signs; Public information symbols. Signs. Plates. Labels (ICS code(s): 01.080.10); Aircraft and space vehicles in general (ICS code(s): 49.020)</t>
  </si>
  <si>
    <t>01.080.10 - Public information symbols; 49.020 - Aircraft and space vehicles in general; 01.080.10 - Public information symbols. Signs. Plates. Labels; 49.020 - Aircraft and space vehicles in general</t>
  </si>
  <si>
    <t>Protection of human health or safety (TBT); Cost saving and productivity enhancement (TBT)</t>
  </si>
  <si>
    <d:r xmlns:d="http://schemas.openxmlformats.org/spreadsheetml/2006/main">
      <d:rPr>
        <d:sz val="11"/>
        <d:rFont val="Calibri"/>
      </d:rPr>
      <d:t xml:space="preserve">https://members.wto.org/crnattachments/2024/TBT/USA/final_measure/24_06680_00_e.pdf
https://members.wto.org/crnattachments/2024/TBT/USA/24_06680_01_e.pdf</d:t>
    </d:r>
  </si>
  <si>
    <t>DUS DARS 1295:2024, Edible insects — Good hygiene practices for insect farming and processing — Code of practice, First edition</t>
  </si>
  <si>
    <t>This Draft Uganda Standard covers the production of insects destined for human consumption and encompasses all production steps, from the feeding of the insects, their breeding, the killing and other processing steps, storage, transport or retail activities, to the final delivery of the product to consumers.Note: This Draft Uganda Standard was also notified to the TBT Committee.</t>
  </si>
  <si>
    <t>Food safety (SPS); Plant protection (SPS); Protect humans from animal/plant pest or disease (SPS)</t>
  </si>
  <si>
    <t>Human health; Plant health; Food safety</t>
  </si>
  <si>
    <d:r xmlns:d="http://schemas.openxmlformats.org/spreadsheetml/2006/main">
      <d:rPr>
        <d:sz val="11"/>
        <d:rFont val="Calibri"/>
      </d:rPr>
      <d:t xml:space="preserve">https://members.wto.org/crnattachments/2024/SPS/UGA/24_06675_00_e.pdf</d:t>
    </d:r>
  </si>
  <si>
    <t>DUS DARS 1292:2024, Edible insects — Good farming and wild harvesting practices, First Edition</t>
  </si>
  <si>
    <t>This Draft Uganda Standard provides the requirements for sustainable establishment and operation of wild harvesting and/or domesticated insect farming for human and animal consumption. Annex A provides a general guidance for farming and wild harvesting of insects. The draft standard is not applicable to post-harvest handling and processing of insects into value added products.Note: This Draft Uganda Standard was also notified to the TBT Committee.</t>
  </si>
  <si>
    <d:r xmlns:d="http://schemas.openxmlformats.org/spreadsheetml/2006/main">
      <d:rPr>
        <d:sz val="11"/>
        <d:rFont val="Calibri"/>
      </d:rPr>
      <d:t xml:space="preserve">https://members.wto.org/crnattachments/2024/SPS/UGA/24_06697_00_e.pdf</d:t>
    </d:r>
  </si>
  <si>
    <t>The Egyptian Standard 8891-3/2024for " Energy performance of lifts, escalators and moving walks — Part 3: Energy calculation and classification for escalators and moving walks".</t>
  </si>
  <si>
    <t>Products covered: Lifts. Escalators (ICS code(s): 91.140.90)This addendum concerns the notification of the Ministerial Decree No.445/2024 (2 page, in Arabic) that gives the producers and importers a twelve –month transitional period to abide by Egyptian Standard 8891-3/2024for " Energy performance of lifts, escalators and moving walks — Part 3: Energy calculation and classification for escalators and moving walks"; (26 page(s), in Arabic).It should be noted the draft of this standard was formerly notified in G/TBT/N/EGY/468 dated  2 May 2024. Worth mentioning is that this standard is technically identical with ISO 25745-3:2015 (confirmed 2020).Producers and importers are kept informed of any amendments in the Egyptian standards through the publication of administrative orders in the official gazette.Date of adoption:7 September 2024.Date of entry into force: 3 October 2024.Agency or authority designated to handle comments and text available from:National Enquiry Point Egyptian Organization for Standardization and Quality 16 Tadreeb El-Modarrebeen St., Ameriya, Cairo - EgyptE-mail: eos@idsc.net.eg/eos.tbt@eos.org.egWebsite: http://www.eos.org.egTel: + (202) 22845528 Fax: + (202) 22845504</t>
  </si>
  <si>
    <t>The Egyptian Standard ES 1601-1 for ” Essential requirements for wheat (Triticum  aestivum L.) .  </t>
  </si>
  <si>
    <t>Products covered: ICS 67.060 (Cereals, pulses and derived products)This addendum concerns the notification of the Ministerial Decree No.447 /2024 (2 pages, in Arabic) that gives the producers and importers a six-month transitional period to abide by the Egyptian Standard ES 1601-1 for” Essential requirements for wheat (Triticum aestivum L) (12 pages, Arabic). It should be noted that Ministerial Decree No. 163 /2010 (2 pages in Arabic) which was formerly notified in G/TBT/N/EGY/28 dated 21 June 2010, mandated among others the earlier version of this Egyptian Standard.Worth mentioning is that this standard complies with:ISO 7970-2021 " Wheat (Triticum aestivum L.) - specification " Codex Stan 199-2019 "Wheat and Durum wheat"      Producers and importers are kept informed of any amendments in the Egyptian standard through the publication of administrative orders in the official gazette.Proposed date of adoption: 7 September 2024.       Proposed date of entry into force: 3 October 2024.Agency or authority designated to handle comments and text available from:National Enquiry Point Egyptian Organization for Standardization and Quality16 Tadreeb El-Modarrebeen St., Ameriya, Cairo – EgyptE-mail: eos@idsc.net.egeos.tbt@eos.org.egWebsite: http://www.eos.org.egTel: + (202) 22845528Fax: + (202) 22845504</t>
  </si>
  <si>
    <t>wheat</t>
  </si>
  <si>
    <t>Draft of Egyptian standard for "Fire-fighting pumps. Fire-fighting centrifugal pumps without primer Classification, general and safety requirements"; </t>
  </si>
  <si>
    <t xml:space="preserve">This draft of Egyptian standard applies to centrifugal pumps without priming devices for fire-fighting use designed as_x000D_
-   floating pumps (FPN F),_x000D_
-   submersible pumps (FPN S) or_x000D_
-   boosted pumps (FPN B)._x000D_
Fire-fighting centrifugal pumps without primer are defined as terminated by their inlet and outlet connections as well as by their shaft ends.This document applies for fire-fighting centrifugal pumps without priming devices for use under ambient temperatures between -15 °C and 40 °C._x000D_
NOTE 1   For special conditions, -30° C; see 6.11. _x000D_
This document does not apply to fire-fighting centrifugal pumps without primer of which the only power source is directly applied manual effort.Worth mentioning is that this Draft standard adopts the technical content of BS EN 14710-1:2005+A2:2008</t>
  </si>
  <si>
    <t>Draft decree of Minister of Industry on Mandatory Indonesia National Standard (SNI) for Glazed Ceramic – Tableware, Closets, and Ceramic Tiles.</t>
  </si>
  <si>
    <t>Regulation of Minister of Industry No. 85/M-IND/PER/12/2016 concerning Mandatory Implementation of Indonesia National Standard for Ceramic Tiles has been revoked and replaced by Regulation of Minister of Industry No. 36 Year 2024 regarding Mandatory Implementation of Indonesia National Standard and Technical Specifications for Ceramic Tiles.The Regulation covers the issuance of SNI certificate using type 5 certification scheme, production process assessment and implementation of ISO 9001:2015, including product quality testing based on:SNI ISO 13006:2018 Ceramic tiles – Definition, classification, characteristics and marking, HS Code 6907.21.91, 6907.21.92, 6907.21.93, 6907.21.94, 6907.22.91, 6907.22.92, 6907.22.93, 6907.22.94, 6907.23.91, 6907.23.92, 6907.23.93, 6907.23.94, 6907.40.91; dan 6907.40.92.; andTechnical Specification of Ceramic Tiles.Domestic or imported ceramic tiles product that has been produced before this Ministerial Regulation comes into effect can still be distributed to a maximum of 1 (one) year from the date of enforcement.</t>
  </si>
  <si>
    <t xml:space="preserve">Glazed Ceramic – Tableware, Closets and Ceramic Tiles ;
1. Glazed Ceramic - Tableware, SNI 7275:2008, HS: 6911.10.00.00, 6911.90.00.00, 6912.00.00.00,  ;
2. Closets SNI 07-0797-2006,  HS: 6910.10.00.00, 6910.90.00.00 ;
3. Ceramic Tiles : Definition, Classification, Characteristic and Marking SNI/ISO 13006:2010, HS: 6907.10.00.00, 6907.90.00.00, 6908.10.10.00, 6908.90.10.00, 6908.90.90.00</t>
  </si>
  <si>
    <t>690710 - Unglazed ceramic tiles, cubes and similar articles, for mosaics, whether or not square or rectangular, the largest surface area of which is capable of being enclosed in a square of side of &lt; 7 cm, whether or not on a backing; 690790 - Unglazed ceramic flags and paving, hearth or wall tiles (excl. of siliceous fossil meals or similar siliceous earths, refractory ceramic goods, tiles made into stands, ornamental articles and tiles specifically manufactured for stoves); 690810 - Glazed ceramic tiles, cubes and similar articles, for mosaics, whether or not square or rectangular, the largest surface area of which is capable of being enclosed in a square of side of &lt; 7 cm, whether or not on a backing; 690890 - Glazed ceramic flags and paving, hearth or wall tiles (excl. of siliceous fossil meals or similar siliceous earths, refractory ceramic goods, tiles made into stands, ornamental articles and tiles specifically manufactured for stoves); 691010 - Ceramic sinks, washbasins, washbasin pedestals, baths, bidets, water closet pans, flushing cisterns, urinals and similar sanitary fixtures of porcelain or china (excl. soap dishes, sponge holders, tooth-brush holders, towel hooks and toilet paper holders); 691090 - Ceramic sinks, washbasins, washbasin pedestals, baths, bidets, water closet pans, flushing cisterns, urinals and similar sanitary fixtures (excl. of porcelain or china, soap dishes, sponge holders, tooth-brush holders, towel hooks and toilet paper holders); 691110 - Tableware and kitchenware, of porcelain or china (excl. ornamental articles, pots, jars, carboys and similar receptacles for the conveyance or packing of goods, and coffee grinders and spice mills with receptacles made of ceramics and working parts of metal); 691190 - Household and toilet articles, of porcelain or china (excl. tableware and kitchenware, baths, bidets, sinks and similar sanitary fixtures, statuettes and other ornamental articles, pots, jars, carboys and similar receptacles for the conveyance or packing of goods, and coffee grinders and spice mills with receptacles made of ceramics and working parts of metal); 691200 - Tableware, kitchenware, other household articles and toilet articles, of ceramics other than porcelain or china (excl. baths, bidets, sinks and similar sanitary fixtures, statuettes and other ornamental articles, pots, jars, carboys and similar receptacles for the conveyance or packing of goods, and coffee grinders and spice mills with receptacles made of ceramics and working parts of metal); 690710 - Unglazed ceramic tiles, cubes and similar articles, for mosaics, whether or not square or rectangular, the largest surface area of which is capable of being enclosed in a square of side of &lt; 7 cm, whether or not on a backing; 690790 - Unglazed ceramic flags and paving, hearth or wall tiles (excl. of siliceous fossil meals or similar siliceous earths, refractory ceramic goods, tiles made into stands, ornamental articles and tiles specifically manufactured for stoves); 690810 - Glazed ceramic tiles, cubes and similar articles, for mosaics, whether or not square or rectangular, the largest surface area of which is capable of being enclosed in a square of side of &lt; 7 cm, whether or not on a backing; 691200 - Tableware, kitchenware, other household articles and toilet articles, of ceramics other than porcelain or china (excl. baths, bidets, sinks and similar sanitary fixtures, statuettes and other ornamental articles, pots, jars, carboys and similar receptacles for the conveyance or packing of goods, and coffee grinders and spice mills with receptacles made of ceramics and working parts of metal); 691010 - Ceramic sinks, wash basins, wash basin pedestals, baths, bidets, water closet pans, flushing cisterns, urinals and similar sanitary fixtures of porcelain or china (excl. soap dishes, sponge holders, tooth-brush holders, towel hooks and toilet paper holders); 690890 - Glazed ceramic flags and paving, hearth or wall tiles (excl. of siliceous fossil meals or similar siliceous earths, refractory ceramic goods, tiles made into stands, ornamental articles and tiles specifically manufactured for stoves); 691110 - Tableware and kitchenware, of porcelain or china (excl. ornamental articles, pots, jars, carboys and similar receptacles for the conveyance or packing of goods, and coffee grinders and spice mills with receptacles made of ceramics and working parts of metal); 691190 - Household and toilet articles, of porcelain or china (excl. tableware and kitchenware, baths, bidets, sinks and similar sanitary fixtures, statuettes and other ornamental articles, pots, jars, carboys and similar receptacles for the conveyance or packing of goods, and coffee grinders and spice mills with receptacles made of ceramics and working parts of metal); 691090 - Ceramic sinks, wash basins, wash basin pedestals, baths, bidets, water closet pans, flushing cisterns, urinals and similar sanitary fixtures (excl. of porcelain or china, soap dishes, sponge holders, tooth-brush holders, towel hooks and toilet paper holders)</t>
  </si>
  <si>
    <t>81.060.20 - Ceramic products; 81.060.20 - Ceramic products; 91.100.23 - Ceramic tiles; 91.100.23 - Ceramic tiles; 91.140.70 - Sanitary installations; 91.140.70 - Sanitary installations; 97.040.60 - Cookware, cutlery and flatware; 97.040.60 - Cookware, cutlery and flatware</t>
  </si>
  <si>
    <t>Prevention of deceptive practices and consumer protection (TBT); Quality requirements (TBT); Reducing trade barriers and facilitating trade (TBT)</t>
  </si>
  <si>
    <d:r xmlns:d="http://schemas.openxmlformats.org/spreadsheetml/2006/main">
      <d:rPr>
        <d:sz val="11"/>
        <d:rFont val="Calibri"/>
      </d:rPr>
      <d:t xml:space="preserve">https://members.wto.org/crnattachments/2024/TBT/IDN/final_measure/24_06610_00_x.pdf</d:t>
    </d:r>
  </si>
</sst>
</file>

<file path=xl/styles.xml><?xml version="1.0" encoding="utf-8"?>
<styleSheet xmlns="http://schemas.openxmlformats.org/spreadsheetml/2006/main">
  <numFmts count="1">
    <numFmt numFmtId="164" formatCode="dd/MM/yyyy"/>
  </numFmts>
  <fonts count="3">
    <font>
      <sz val="11"/>
      <name val="Calibri"/>
    </font>
    <font>
      <b/>
      <sz val="11"/>
      <name val="Calibri"/>
    </font>
    <font>
      <u/>
      <sz val="11"/>
      <color rgb="FF0000FF" tint="0"/>
      <name val="Calibri"/>
    </font>
  </fonts>
  <fills count="2">
    <fill>
      <patternFill patternType="none"/>
    </fill>
    <fill>
      <patternFill patternType="gray125"/>
    </fill>
  </fills>
  <borders count="1">
    <border>
      <left/>
      <right/>
      <top/>
      <bottom/>
      <diagonal/>
    </border>
  </borders>
  <cellStyleXfs count="1">
    <xf numFmtId="0" fontId="0"/>
  </cellStyleXfs>
  <cellXfs count="1">
    <xf numFmtId="0" applyNumberFormat="1" fontId="0" applyFont="1" xfId="0" applyProtection="1"/>
    <xf numFmtId="0" applyNumberFormat="1" fontId="1" applyFont="1" xfId="0" applyProtection="1" applyAlignment="1">
      <alignment horizontal="center" vertical="center"/>
    </xf>
    <xf numFmtId="0" applyNumberFormat="1" fontId="0" applyFont="1" xfId="0" applyProtection="1">
      <alignment wrapText="1"/>
    </xf>
    <xf numFmtId="0" applyNumberFormat="1" fontId="1" applyFont="1" xfId="0" applyProtection="1" applyAlignment="1">
      <alignment horizontal="center" vertical="center" wrapText="1"/>
    </xf>
    <xf numFmtId="164" applyNumberFormat="1" fontId="0" applyFont="1" xfId="0" applyProtection="1"/>
    <xf numFmtId="164" applyNumberFormat="1" fontId="1" applyFont="1" xfId="0" applyProtection="1" applyAlignment="1">
      <alignment horizontal="center" vertical="center"/>
    </xf>
    <xf numFmtId="0" applyNumberFormat="1" fontId="0" applyFont="1" xfId="0" applyProtection="1" applyAlignment="1">
      <alignment vertical="top"/>
    </xf>
    <xf numFmtId="164" applyNumberFormat="1" fontId="0" applyFont="1" xfId="0" applyProtection="1" applyAlignment="1">
      <alignment vertical="top"/>
    </xf>
    <xf numFmtId="0" applyNumberFormat="1" fontId="0" applyFont="1" xfId="0" applyProtection="1" applyAlignment="1">
      <alignment vertical="top" wrapText="1"/>
    </xf>
    <xf numFmtId="0" applyNumberFormat="1" fontId="2" applyFont="1" xfId="0" applyProtection="1" applyAlignment="1">
      <alignment vertical="top"/>
    </xf>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xr">
  <dimension ref="A1:Q1657"/>
  <sheetViews>
    <sheetView workbookViewId="0"/>
  </sheetViews>
  <sheetFormatPr defaultRowHeight="15"/>
  <cols>
    <col min="1" max="1" width="30" customWidth="1"/>
    <col min="2" max="2" width="20" customWidth="1" style="4"/>
    <col min="3" max="3" width="50" customWidth="1"/>
    <col min="4" max="4" width="100" customWidth="1" style="2"/>
    <col min="5" max="5" width="100" customWidth="1" style="2"/>
    <col min="6" max="6" width="100" customWidth="1" style="2"/>
    <col min="7" max="7" width="100" customWidth="1" style="2"/>
    <col min="8" max="8" width="100" customWidth="1" style="2"/>
    <col min="9" max="9" width="100" customWidth="1" style="2"/>
    <col min="10" max="10" width="100" customWidth="1" style="2"/>
    <col min="11" max="11" width="100" customWidth="1"/>
    <col min="12" max="12" width="30" customWidth="1" style="4"/>
    <col min="13" max="13" width="100" customWidth="1"/>
    <col min="14" max="14" width="100" customWidth="1"/>
    <col min="15" max="15" width="100" customWidth="1"/>
    <col min="16" max="16" width="100" customWidth="1"/>
    <col min="17" max="17" width="100" customWidth="1"/>
  </cols>
  <sheetData>
    <row r="1" ht="30" customHeight="1">
      <c r="A1" s="1" t="s">
        <v>0</v>
      </c>
      <c r="B1" s="5" t="s">
        <v>1</v>
      </c>
      <c r="C1" s="1" t="s">
        <v>2</v>
      </c>
      <c r="D1" s="3" t="s">
        <v>3</v>
      </c>
      <c r="E1" s="3" t="s">
        <v>4</v>
      </c>
      <c r="F1" s="3" t="s">
        <v>5</v>
      </c>
      <c r="G1" s="3" t="s">
        <v>6</v>
      </c>
      <c r="H1" s="3" t="s">
        <v>7</v>
      </c>
      <c r="I1" s="3" t="s">
        <v>8</v>
      </c>
      <c r="J1" s="3" t="s">
        <v>9</v>
      </c>
      <c r="K1" s="1" t="s">
        <v>10</v>
      </c>
      <c r="L1" s="5" t="s">
        <v>11</v>
      </c>
      <c r="M1" s="1" t="s">
        <v>12</v>
      </c>
      <c r="N1" s="1" t="s">
        <v>13</v>
      </c>
      <c r="O1" s="1" t="s">
        <v>14</v>
      </c>
      <c r="P1" s="1" t="s">
        <v>15</v>
      </c>
      <c r="Q1" s="1" t="s">
        <v>16</v>
      </c>
    </row>
    <row r="2">
      <c r="A2" s="6" t="s">
        <v>17</v>
      </c>
      <c r="B2" s="7">
        <v>45664</v>
      </c>
      <c r="C2" s="9">
        <f>HYPERLINK("https://eping.wto.org/en/Search?viewData= G/SPS/N/KOR/248/Add.25"," G/SPS/N/KOR/248/Add.25")</f>
      </c>
      <c r="D2" s="8" t="s">
        <v>18</v>
      </c>
      <c r="E2" s="8" t="s">
        <v>19</v>
      </c>
      <c r="F2" s="8" t="s">
        <v>20</v>
      </c>
      <c r="G2" s="8" t="s">
        <v>21</v>
      </c>
      <c r="H2" s="8" t="s">
        <v>22</v>
      </c>
      <c r="I2" s="8" t="s">
        <v>22</v>
      </c>
      <c r="J2" s="8" t="s">
        <v>23</v>
      </c>
      <c r="K2" s="6"/>
      <c r="L2" s="7" t="s">
        <v>22</v>
      </c>
      <c r="M2" s="6" t="s">
        <v>24</v>
      </c>
      <c r="N2" s="8" t="s">
        <v>25</v>
      </c>
      <c r="O2" s="6">
        <f>HYPERLINK("https://docs.wto.org/imrd/directdoc.asp?DDFDocuments/t/G/SPS/NKOR248A25.DOCX", "https://docs.wto.org/imrd/directdoc.asp?DDFDocuments/t/G/SPS/NKOR248A25.DOCX")</f>
      </c>
      <c r="P2" s="6">
        <f>HYPERLINK("https://docs.wto.org/imrd/directdoc.asp?DDFDocuments/u/G/SPS/NKOR248A25.DOCX", "https://docs.wto.org/imrd/directdoc.asp?DDFDocuments/u/G/SPS/NKOR248A25.DOCX")</f>
      </c>
      <c r="Q2" s="6">
        <f>HYPERLINK("https://docs.wto.org/imrd/directdoc.asp?DDFDocuments/v/G/SPS/NKOR248A25.DOCX", "https://docs.wto.org/imrd/directdoc.asp?DDFDocuments/v/G/SPS/NKOR248A25.DOCX")</f>
      </c>
    </row>
    <row r="3">
      <c r="A3" s="6" t="s">
        <v>26</v>
      </c>
      <c r="B3" s="7">
        <v>45664</v>
      </c>
      <c r="C3" s="9">
        <f>HYPERLINK("https://eping.wto.org/en/Search?viewData= G/TBT/N/BDI/535, G/TBT/N/KEN/1726, G/TBT/N/RWA/1102, G/TBT/N/TZA/1238, G/TBT/N/UGA/2075"," G/TBT/N/BDI/535, G/TBT/N/KEN/1726, G/TBT/N/RWA/1102, G/TBT/N/TZA/1238, G/TBT/N/UGA/2075")</f>
      </c>
      <c r="D3" s="8" t="s">
        <v>27</v>
      </c>
      <c r="E3" s="8" t="s">
        <v>28</v>
      </c>
      <c r="F3" s="8" t="s">
        <v>29</v>
      </c>
      <c r="G3" s="8" t="s">
        <v>22</v>
      </c>
      <c r="H3" s="8" t="s">
        <v>30</v>
      </c>
      <c r="I3" s="8" t="s">
        <v>31</v>
      </c>
      <c r="J3" s="8" t="s">
        <v>22</v>
      </c>
      <c r="K3" s="6"/>
      <c r="L3" s="7">
        <v>45724</v>
      </c>
      <c r="M3" s="6" t="s">
        <v>32</v>
      </c>
      <c r="N3" s="8" t="s">
        <v>33</v>
      </c>
      <c r="O3" s="6">
        <f>HYPERLINK("https://docs.wto.org/imrd/directdoc.asp?DDFDocuments/t/G/TBTN25/BDI535.DOCX", "https://docs.wto.org/imrd/directdoc.asp?DDFDocuments/t/G/TBTN25/BDI535.DOCX")</f>
      </c>
      <c r="P3" s="6">
        <f>HYPERLINK("https://docs.wto.org/imrd/directdoc.asp?DDFDocuments/u/G/TBTN25/BDI535.DOCX", "https://docs.wto.org/imrd/directdoc.asp?DDFDocuments/u/G/TBTN25/BDI535.DOCX")</f>
      </c>
      <c r="Q3" s="6">
        <f>HYPERLINK("https://docs.wto.org/imrd/directdoc.asp?DDFDocuments/v/G/TBTN25/BDI535.DOCX", "https://docs.wto.org/imrd/directdoc.asp?DDFDocuments/v/G/TBTN25/BDI535.DOCX")</f>
      </c>
    </row>
    <row r="4">
      <c r="A4" s="6" t="s">
        <v>34</v>
      </c>
      <c r="B4" s="7">
        <v>45664</v>
      </c>
      <c r="C4" s="9">
        <f>HYPERLINK("https://eping.wto.org/en/Search?viewData= G/TBT/N/TPKM/540/Add.1"," G/TBT/N/TPKM/540/Add.1")</f>
      </c>
      <c r="D4" s="8" t="s">
        <v>35</v>
      </c>
      <c r="E4" s="8" t="s">
        <v>36</v>
      </c>
      <c r="F4" s="8" t="s">
        <v>37</v>
      </c>
      <c r="G4" s="8" t="s">
        <v>22</v>
      </c>
      <c r="H4" s="8" t="s">
        <v>38</v>
      </c>
      <c r="I4" s="8" t="s">
        <v>39</v>
      </c>
      <c r="J4" s="8" t="s">
        <v>22</v>
      </c>
      <c r="K4" s="6"/>
      <c r="L4" s="7" t="s">
        <v>22</v>
      </c>
      <c r="M4" s="6" t="s">
        <v>40</v>
      </c>
      <c r="N4" s="8" t="s">
        <v>41</v>
      </c>
      <c r="O4" s="6">
        <f>HYPERLINK("https://docs.wto.org/imrd/directdoc.asp?DDFDocuments/t/G/TBTN24/TPKM540A1.DOCX", "https://docs.wto.org/imrd/directdoc.asp?DDFDocuments/t/G/TBTN24/TPKM540A1.DOCX")</f>
      </c>
      <c r="P4" s="6">
        <f>HYPERLINK("https://docs.wto.org/imrd/directdoc.asp?DDFDocuments/u/G/TBTN24/TPKM540A1.DOCX", "https://docs.wto.org/imrd/directdoc.asp?DDFDocuments/u/G/TBTN24/TPKM540A1.DOCX")</f>
      </c>
      <c r="Q4" s="6">
        <f>HYPERLINK("https://docs.wto.org/imrd/directdoc.asp?DDFDocuments/v/G/TBTN24/TPKM540A1.DOCX", "https://docs.wto.org/imrd/directdoc.asp?DDFDocuments/v/G/TBTN24/TPKM540A1.DOCX")</f>
      </c>
    </row>
    <row r="5">
      <c r="A5" s="6" t="s">
        <v>42</v>
      </c>
      <c r="B5" s="7">
        <v>45664</v>
      </c>
      <c r="C5" s="9">
        <f>HYPERLINK("https://eping.wto.org/en/Search?viewData= G/TBT/N/VNM/332"," G/TBT/N/VNM/332")</f>
      </c>
      <c r="D5" s="8" t="s">
        <v>43</v>
      </c>
      <c r="E5" s="8" t="s">
        <v>44</v>
      </c>
      <c r="F5" s="8" t="s">
        <v>45</v>
      </c>
      <c r="G5" s="8" t="s">
        <v>46</v>
      </c>
      <c r="H5" s="8" t="s">
        <v>47</v>
      </c>
      <c r="I5" s="8" t="s">
        <v>39</v>
      </c>
      <c r="J5" s="8" t="s">
        <v>22</v>
      </c>
      <c r="K5" s="6"/>
      <c r="L5" s="7">
        <v>45724</v>
      </c>
      <c r="M5" s="6" t="s">
        <v>32</v>
      </c>
      <c r="N5" s="8" t="s">
        <v>48</v>
      </c>
      <c r="O5" s="6">
        <f>HYPERLINK("https://docs.wto.org/imrd/directdoc.asp?DDFDocuments/t/G/TBTN25/VNM332.DOCX", "https://docs.wto.org/imrd/directdoc.asp?DDFDocuments/t/G/TBTN25/VNM332.DOCX")</f>
      </c>
      <c r="P5" s="6">
        <f>HYPERLINK("https://docs.wto.org/imrd/directdoc.asp?DDFDocuments/u/G/TBTN25/VNM332.DOCX", "https://docs.wto.org/imrd/directdoc.asp?DDFDocuments/u/G/TBTN25/VNM332.DOCX")</f>
      </c>
      <c r="Q5" s="6">
        <f>HYPERLINK("https://docs.wto.org/imrd/directdoc.asp?DDFDocuments/v/G/TBTN25/VNM332.DOCX", "https://docs.wto.org/imrd/directdoc.asp?DDFDocuments/v/G/TBTN25/VNM332.DOCX")</f>
      </c>
    </row>
    <row r="6">
      <c r="A6" s="6" t="s">
        <v>49</v>
      </c>
      <c r="B6" s="7">
        <v>45664</v>
      </c>
      <c r="C6" s="9">
        <f>HYPERLINK("https://eping.wto.org/en/Search?viewData= G/TBT/N/BDI/534, G/TBT/N/KEN/1725, G/TBT/N/RWA/1101, G/TBT/N/TZA/1237, G/TBT/N/UGA/2074"," G/TBT/N/BDI/534, G/TBT/N/KEN/1725, G/TBT/N/RWA/1101, G/TBT/N/TZA/1237, G/TBT/N/UGA/2074")</f>
      </c>
      <c r="D6" s="8" t="s">
        <v>50</v>
      </c>
      <c r="E6" s="8" t="s">
        <v>51</v>
      </c>
      <c r="F6" s="8" t="s">
        <v>29</v>
      </c>
      <c r="G6" s="8" t="s">
        <v>22</v>
      </c>
      <c r="H6" s="8" t="s">
        <v>30</v>
      </c>
      <c r="I6" s="8" t="s">
        <v>31</v>
      </c>
      <c r="J6" s="8" t="s">
        <v>22</v>
      </c>
      <c r="K6" s="6"/>
      <c r="L6" s="7">
        <v>45724</v>
      </c>
      <c r="M6" s="6" t="s">
        <v>32</v>
      </c>
      <c r="N6" s="8" t="s">
        <v>52</v>
      </c>
      <c r="O6" s="6">
        <f>HYPERLINK("https://docs.wto.org/imrd/directdoc.asp?DDFDocuments/t/G/TBTN25/BDI534.DOCX", "https://docs.wto.org/imrd/directdoc.asp?DDFDocuments/t/G/TBTN25/BDI534.DOCX")</f>
      </c>
      <c r="P6" s="6"/>
      <c r="Q6" s="6"/>
    </row>
    <row r="7">
      <c r="A7" s="6" t="s">
        <v>53</v>
      </c>
      <c r="B7" s="7">
        <v>45664</v>
      </c>
      <c r="C7" s="9">
        <f>HYPERLINK("https://eping.wto.org/en/Search?viewData= G/TBT/N/BDI/539, G/TBT/N/KEN/1731, G/TBT/N/RWA/1106, G/TBT/N/TZA/1242, G/TBT/N/UGA/2079"," G/TBT/N/BDI/539, G/TBT/N/KEN/1731, G/TBT/N/RWA/1106, G/TBT/N/TZA/1242, G/TBT/N/UGA/2079")</f>
      </c>
      <c r="D7" s="8" t="s">
        <v>54</v>
      </c>
      <c r="E7" s="8" t="s">
        <v>55</v>
      </c>
      <c r="F7" s="8" t="s">
        <v>56</v>
      </c>
      <c r="G7" s="8" t="s">
        <v>22</v>
      </c>
      <c r="H7" s="8" t="s">
        <v>57</v>
      </c>
      <c r="I7" s="8" t="s">
        <v>31</v>
      </c>
      <c r="J7" s="8" t="s">
        <v>58</v>
      </c>
      <c r="K7" s="6"/>
      <c r="L7" s="7">
        <v>45724</v>
      </c>
      <c r="M7" s="6" t="s">
        <v>32</v>
      </c>
      <c r="N7" s="8" t="s">
        <v>59</v>
      </c>
      <c r="O7" s="6">
        <f>HYPERLINK("https://docs.wto.org/imrd/directdoc.asp?DDFDocuments/t/G/TBTN25/BDI539.DOCX", "https://docs.wto.org/imrd/directdoc.asp?DDFDocuments/t/G/TBTN25/BDI539.DOCX")</f>
      </c>
      <c r="P7" s="6">
        <f>HYPERLINK("https://docs.wto.org/imrd/directdoc.asp?DDFDocuments/u/G/TBTN25/BDI539.DOCX", "https://docs.wto.org/imrd/directdoc.asp?DDFDocuments/u/G/TBTN25/BDI539.DOCX")</f>
      </c>
      <c r="Q7" s="6">
        <f>HYPERLINK("https://docs.wto.org/imrd/directdoc.asp?DDFDocuments/v/G/TBTN25/BDI539.DOCX", "https://docs.wto.org/imrd/directdoc.asp?DDFDocuments/v/G/TBTN25/BDI539.DOCX")</f>
      </c>
    </row>
    <row r="8">
      <c r="A8" s="6" t="s">
        <v>60</v>
      </c>
      <c r="B8" s="7">
        <v>45664</v>
      </c>
      <c r="C8" s="9">
        <f>HYPERLINK("https://eping.wto.org/en/Search?viewData= G/TBT/N/BDI/540, G/TBT/N/KEN/1732, G/TBT/N/RWA/1107, G/TBT/N/TZA/1243, G/TBT/N/UGA/2080"," G/TBT/N/BDI/540, G/TBT/N/KEN/1732, G/TBT/N/RWA/1107, G/TBT/N/TZA/1243, G/TBT/N/UGA/2080")</f>
      </c>
      <c r="D8" s="8" t="s">
        <v>61</v>
      </c>
      <c r="E8" s="8" t="s">
        <v>62</v>
      </c>
      <c r="F8" s="8" t="s">
        <v>63</v>
      </c>
      <c r="G8" s="8" t="s">
        <v>64</v>
      </c>
      <c r="H8" s="8" t="s">
        <v>65</v>
      </c>
      <c r="I8" s="8" t="s">
        <v>66</v>
      </c>
      <c r="J8" s="8" t="s">
        <v>22</v>
      </c>
      <c r="K8" s="6"/>
      <c r="L8" s="7">
        <v>45724</v>
      </c>
      <c r="M8" s="6" t="s">
        <v>32</v>
      </c>
      <c r="N8" s="8" t="s">
        <v>67</v>
      </c>
      <c r="O8" s="6">
        <f>HYPERLINK("https://docs.wto.org/imrd/directdoc.asp?DDFDocuments/t/G/TBTN25/BDI540.DOCX", "https://docs.wto.org/imrd/directdoc.asp?DDFDocuments/t/G/TBTN25/BDI540.DOCX")</f>
      </c>
      <c r="P8" s="6">
        <f>HYPERLINK("https://docs.wto.org/imrd/directdoc.asp?DDFDocuments/u/G/TBTN25/BDI540.DOCX", "https://docs.wto.org/imrd/directdoc.asp?DDFDocuments/u/G/TBTN25/BDI540.DOCX")</f>
      </c>
      <c r="Q8" s="6">
        <f>HYPERLINK("https://docs.wto.org/imrd/directdoc.asp?DDFDocuments/v/G/TBTN25/BDI540.DOCX", "https://docs.wto.org/imrd/directdoc.asp?DDFDocuments/v/G/TBTN25/BDI540.DOCX")</f>
      </c>
    </row>
    <row r="9">
      <c r="A9" s="6" t="s">
        <v>68</v>
      </c>
      <c r="B9" s="7">
        <v>45664</v>
      </c>
      <c r="C9" s="9">
        <f>HYPERLINK("https://eping.wto.org/en/Search?viewData= G/TBT/N/BDI/540, G/TBT/N/KEN/1732, G/TBT/N/RWA/1107, G/TBT/N/TZA/1243, G/TBT/N/UGA/2080"," G/TBT/N/BDI/540, G/TBT/N/KEN/1732, G/TBT/N/RWA/1107, G/TBT/N/TZA/1243, G/TBT/N/UGA/2080")</f>
      </c>
      <c r="D9" s="8" t="s">
        <v>61</v>
      </c>
      <c r="E9" s="8" t="s">
        <v>62</v>
      </c>
      <c r="F9" s="8" t="s">
        <v>63</v>
      </c>
      <c r="G9" s="8" t="s">
        <v>64</v>
      </c>
      <c r="H9" s="8" t="s">
        <v>65</v>
      </c>
      <c r="I9" s="8" t="s">
        <v>66</v>
      </c>
      <c r="J9" s="8" t="s">
        <v>22</v>
      </c>
      <c r="K9" s="6"/>
      <c r="L9" s="7">
        <v>45724</v>
      </c>
      <c r="M9" s="6" t="s">
        <v>32</v>
      </c>
      <c r="N9" s="8" t="s">
        <v>67</v>
      </c>
      <c r="O9" s="6">
        <f>HYPERLINK("https://docs.wto.org/imrd/directdoc.asp?DDFDocuments/t/G/TBTN25/BDI540.DOCX", "https://docs.wto.org/imrd/directdoc.asp?DDFDocuments/t/G/TBTN25/BDI540.DOCX")</f>
      </c>
      <c r="P9" s="6">
        <f>HYPERLINK("https://docs.wto.org/imrd/directdoc.asp?DDFDocuments/u/G/TBTN25/BDI540.DOCX", "https://docs.wto.org/imrd/directdoc.asp?DDFDocuments/u/G/TBTN25/BDI540.DOCX")</f>
      </c>
      <c r="Q9" s="6">
        <f>HYPERLINK("https://docs.wto.org/imrd/directdoc.asp?DDFDocuments/v/G/TBTN25/BDI540.DOCX", "https://docs.wto.org/imrd/directdoc.asp?DDFDocuments/v/G/TBTN25/BDI540.DOCX")</f>
      </c>
    </row>
    <row r="10">
      <c r="A10" s="6" t="s">
        <v>53</v>
      </c>
      <c r="B10" s="7">
        <v>45664</v>
      </c>
      <c r="C10" s="9">
        <f>HYPERLINK("https://eping.wto.org/en/Search?viewData= G/TBT/N/KEN/1589/Add.1"," G/TBT/N/KEN/1589/Add.1")</f>
      </c>
      <c r="D10" s="8" t="s">
        <v>69</v>
      </c>
      <c r="E10" s="8" t="s">
        <v>70</v>
      </c>
      <c r="F10" s="8" t="s">
        <v>71</v>
      </c>
      <c r="G10" s="8" t="s">
        <v>72</v>
      </c>
      <c r="H10" s="8" t="s">
        <v>73</v>
      </c>
      <c r="I10" s="8" t="s">
        <v>74</v>
      </c>
      <c r="J10" s="8" t="s">
        <v>22</v>
      </c>
      <c r="K10" s="6"/>
      <c r="L10" s="7" t="s">
        <v>22</v>
      </c>
      <c r="M10" s="6" t="s">
        <v>40</v>
      </c>
      <c r="N10" s="6"/>
      <c r="O10" s="6">
        <f>HYPERLINK("https://docs.wto.org/imrd/directdoc.asp?DDFDocuments/t/G/TBTN24/KEN1589A1.DOCX", "https://docs.wto.org/imrd/directdoc.asp?DDFDocuments/t/G/TBTN24/KEN1589A1.DOCX")</f>
      </c>
      <c r="P10" s="6">
        <f>HYPERLINK("https://docs.wto.org/imrd/directdoc.asp?DDFDocuments/u/G/TBTN24/KEN1589A1.DOCX", "https://docs.wto.org/imrd/directdoc.asp?DDFDocuments/u/G/TBTN24/KEN1589A1.DOCX")</f>
      </c>
      <c r="Q10" s="6">
        <f>HYPERLINK("https://docs.wto.org/imrd/directdoc.asp?DDFDocuments/v/G/TBTN24/KEN1589A1.DOCX", "https://docs.wto.org/imrd/directdoc.asp?DDFDocuments/v/G/TBTN24/KEN1589A1.DOCX")</f>
      </c>
    </row>
    <row r="11">
      <c r="A11" s="6" t="s">
        <v>53</v>
      </c>
      <c r="B11" s="7">
        <v>45664</v>
      </c>
      <c r="C11" s="9">
        <f>HYPERLINK("https://eping.wto.org/en/Search?viewData= G/TBT/N/KEN/1625/Add.1"," G/TBT/N/KEN/1625/Add.1")</f>
      </c>
      <c r="D11" s="8" t="s">
        <v>75</v>
      </c>
      <c r="E11" s="8" t="s">
        <v>76</v>
      </c>
      <c r="F11" s="8" t="s">
        <v>77</v>
      </c>
      <c r="G11" s="8" t="s">
        <v>78</v>
      </c>
      <c r="H11" s="8" t="s">
        <v>79</v>
      </c>
      <c r="I11" s="8" t="s">
        <v>80</v>
      </c>
      <c r="J11" s="8" t="s">
        <v>81</v>
      </c>
      <c r="K11" s="6"/>
      <c r="L11" s="7" t="s">
        <v>22</v>
      </c>
      <c r="M11" s="6" t="s">
        <v>40</v>
      </c>
      <c r="N11" s="6"/>
      <c r="O11" s="6">
        <f>HYPERLINK("https://docs.wto.org/imrd/directdoc.asp?DDFDocuments/t/G/TBTN24/KEN1625A1.DOCX", "https://docs.wto.org/imrd/directdoc.asp?DDFDocuments/t/G/TBTN24/KEN1625A1.DOCX")</f>
      </c>
      <c r="P11" s="6">
        <f>HYPERLINK("https://docs.wto.org/imrd/directdoc.asp?DDFDocuments/u/G/TBTN24/KEN1625A1.DOCX", "https://docs.wto.org/imrd/directdoc.asp?DDFDocuments/u/G/TBTN24/KEN1625A1.DOCX")</f>
      </c>
      <c r="Q11" s="6">
        <f>HYPERLINK("https://docs.wto.org/imrd/directdoc.asp?DDFDocuments/v/G/TBTN24/KEN1625A1.DOCX", "https://docs.wto.org/imrd/directdoc.asp?DDFDocuments/v/G/TBTN24/KEN1625A1.DOCX")</f>
      </c>
    </row>
    <row r="12">
      <c r="A12" s="6" t="s">
        <v>82</v>
      </c>
      <c r="B12" s="7">
        <v>45664</v>
      </c>
      <c r="C12" s="9">
        <f>HYPERLINK("https://eping.wto.org/en/Search?viewData= G/TBT/N/BRA/1582"," G/TBT/N/BRA/1582")</f>
      </c>
      <c r="D12" s="8" t="s">
        <v>83</v>
      </c>
      <c r="E12" s="8" t="s">
        <v>84</v>
      </c>
      <c r="F12" s="8" t="s">
        <v>85</v>
      </c>
      <c r="G12" s="8" t="s">
        <v>86</v>
      </c>
      <c r="H12" s="8" t="s">
        <v>87</v>
      </c>
      <c r="I12" s="8" t="s">
        <v>88</v>
      </c>
      <c r="J12" s="8" t="s">
        <v>22</v>
      </c>
      <c r="K12" s="6"/>
      <c r="L12" s="7">
        <v>45699</v>
      </c>
      <c r="M12" s="6" t="s">
        <v>32</v>
      </c>
      <c r="N12" s="8" t="s">
        <v>89</v>
      </c>
      <c r="O12" s="6">
        <f>HYPERLINK("https://docs.wto.org/imrd/directdoc.asp?DDFDocuments/t/G/TBTN25/BRA1582.DOCX", "https://docs.wto.org/imrd/directdoc.asp?DDFDocuments/t/G/TBTN25/BRA1582.DOCX")</f>
      </c>
      <c r="P12" s="6">
        <f>HYPERLINK("https://docs.wto.org/imrd/directdoc.asp?DDFDocuments/u/G/TBTN25/BRA1582.DOCX", "https://docs.wto.org/imrd/directdoc.asp?DDFDocuments/u/G/TBTN25/BRA1582.DOCX")</f>
      </c>
      <c r="Q12" s="6">
        <f>HYPERLINK("https://docs.wto.org/imrd/directdoc.asp?DDFDocuments/v/G/TBTN25/BRA1582.DOCX", "https://docs.wto.org/imrd/directdoc.asp?DDFDocuments/v/G/TBTN25/BRA1582.DOCX")</f>
      </c>
    </row>
    <row r="13">
      <c r="A13" s="6" t="s">
        <v>26</v>
      </c>
      <c r="B13" s="7">
        <v>45664</v>
      </c>
      <c r="C13" s="9">
        <f>HYPERLINK("https://eping.wto.org/en/Search?viewData= G/TBT/N/BDI/538, G/TBT/N/KEN/1729, G/TBT/N/RWA/1105, G/TBT/N/TZA/1241, G/TBT/N/UGA/2078"," G/TBT/N/BDI/538, G/TBT/N/KEN/1729, G/TBT/N/RWA/1105, G/TBT/N/TZA/1241, G/TBT/N/UGA/2078")</f>
      </c>
      <c r="D13" s="8" t="s">
        <v>90</v>
      </c>
      <c r="E13" s="8" t="s">
        <v>91</v>
      </c>
      <c r="F13" s="8" t="s">
        <v>92</v>
      </c>
      <c r="G13" s="8" t="s">
        <v>22</v>
      </c>
      <c r="H13" s="8" t="s">
        <v>93</v>
      </c>
      <c r="I13" s="8" t="s">
        <v>31</v>
      </c>
      <c r="J13" s="8" t="s">
        <v>58</v>
      </c>
      <c r="K13" s="6"/>
      <c r="L13" s="7">
        <v>45724</v>
      </c>
      <c r="M13" s="6" t="s">
        <v>32</v>
      </c>
      <c r="N13" s="8" t="s">
        <v>94</v>
      </c>
      <c r="O13" s="6">
        <f>HYPERLINK("https://docs.wto.org/imrd/directdoc.asp?DDFDocuments/t/G/TBTN25/BDI538.DOCX", "https://docs.wto.org/imrd/directdoc.asp?DDFDocuments/t/G/TBTN25/BDI538.DOCX")</f>
      </c>
      <c r="P13" s="6">
        <f>HYPERLINK("https://docs.wto.org/imrd/directdoc.asp?DDFDocuments/u/G/TBTN25/BDI538.DOCX", "https://docs.wto.org/imrd/directdoc.asp?DDFDocuments/u/G/TBTN25/BDI538.DOCX")</f>
      </c>
      <c r="Q13" s="6">
        <f>HYPERLINK("https://docs.wto.org/imrd/directdoc.asp?DDFDocuments/v/G/TBTN25/BDI538.DOCX", "https://docs.wto.org/imrd/directdoc.asp?DDFDocuments/v/G/TBTN25/BDI538.DOCX")</f>
      </c>
    </row>
    <row r="14">
      <c r="A14" s="6" t="s">
        <v>60</v>
      </c>
      <c r="B14" s="7">
        <v>45664</v>
      </c>
      <c r="C14" s="9">
        <f>HYPERLINK("https://eping.wto.org/en/Search?viewData= G/TBT/N/BDI/537, G/TBT/N/KEN/1728, G/TBT/N/RWA/1104, G/TBT/N/TZA/1240, G/TBT/N/UGA/2077"," G/TBT/N/BDI/537, G/TBT/N/KEN/1728, G/TBT/N/RWA/1104, G/TBT/N/TZA/1240, G/TBT/N/UGA/2077")</f>
      </c>
      <c r="D14" s="8" t="s">
        <v>95</v>
      </c>
      <c r="E14" s="8" t="s">
        <v>96</v>
      </c>
      <c r="F14" s="8" t="s">
        <v>29</v>
      </c>
      <c r="G14" s="8" t="s">
        <v>22</v>
      </c>
      <c r="H14" s="8" t="s">
        <v>30</v>
      </c>
      <c r="I14" s="8" t="s">
        <v>31</v>
      </c>
      <c r="J14" s="8" t="s">
        <v>22</v>
      </c>
      <c r="K14" s="6"/>
      <c r="L14" s="7">
        <v>45724</v>
      </c>
      <c r="M14" s="6" t="s">
        <v>32</v>
      </c>
      <c r="N14" s="8" t="s">
        <v>97</v>
      </c>
      <c r="O14" s="6">
        <f>HYPERLINK("https://docs.wto.org/imrd/directdoc.asp?DDFDocuments/t/G/TBTN25/BDI537.DOCX", "https://docs.wto.org/imrd/directdoc.asp?DDFDocuments/t/G/TBTN25/BDI537.DOCX")</f>
      </c>
      <c r="P14" s="6">
        <f>HYPERLINK("https://docs.wto.org/imrd/directdoc.asp?DDFDocuments/u/G/TBTN25/BDI537.DOCX", "https://docs.wto.org/imrd/directdoc.asp?DDFDocuments/u/G/TBTN25/BDI537.DOCX")</f>
      </c>
      <c r="Q14" s="6">
        <f>HYPERLINK("https://docs.wto.org/imrd/directdoc.asp?DDFDocuments/v/G/TBTN25/BDI537.DOCX", "https://docs.wto.org/imrd/directdoc.asp?DDFDocuments/v/G/TBTN25/BDI537.DOCX")</f>
      </c>
    </row>
    <row r="15">
      <c r="A15" s="6" t="s">
        <v>34</v>
      </c>
      <c r="B15" s="7">
        <v>45664</v>
      </c>
      <c r="C15" s="9">
        <f>HYPERLINK("https://eping.wto.org/en/Search?viewData= G/TBT/N/TPKM/546/Add.1"," G/TBT/N/TPKM/546/Add.1")</f>
      </c>
      <c r="D15" s="8" t="s">
        <v>98</v>
      </c>
      <c r="E15" s="8" t="s">
        <v>99</v>
      </c>
      <c r="F15" s="8" t="s">
        <v>100</v>
      </c>
      <c r="G15" s="8" t="s">
        <v>101</v>
      </c>
      <c r="H15" s="8" t="s">
        <v>102</v>
      </c>
      <c r="I15" s="8" t="s">
        <v>39</v>
      </c>
      <c r="J15" s="8" t="s">
        <v>22</v>
      </c>
      <c r="K15" s="6"/>
      <c r="L15" s="7" t="s">
        <v>22</v>
      </c>
      <c r="M15" s="6" t="s">
        <v>40</v>
      </c>
      <c r="N15" s="8" t="s">
        <v>103</v>
      </c>
      <c r="O15" s="6">
        <f>HYPERLINK("https://docs.wto.org/imrd/directdoc.asp?DDFDocuments/t/G/TBTN24/TPKM546A1.DOCX", "https://docs.wto.org/imrd/directdoc.asp?DDFDocuments/t/G/TBTN24/TPKM546A1.DOCX")</f>
      </c>
      <c r="P15" s="6">
        <f>HYPERLINK("https://docs.wto.org/imrd/directdoc.asp?DDFDocuments/u/G/TBTN24/TPKM546A1.DOCX", "https://docs.wto.org/imrd/directdoc.asp?DDFDocuments/u/G/TBTN24/TPKM546A1.DOCX")</f>
      </c>
      <c r="Q15" s="6">
        <f>HYPERLINK("https://docs.wto.org/imrd/directdoc.asp?DDFDocuments/v/G/TBTN24/TPKM546A1.DOCX", "https://docs.wto.org/imrd/directdoc.asp?DDFDocuments/v/G/TBTN24/TPKM546A1.DOCX")</f>
      </c>
    </row>
    <row r="16">
      <c r="A16" s="6" t="s">
        <v>104</v>
      </c>
      <c r="B16" s="7">
        <v>45664</v>
      </c>
      <c r="C16" s="9">
        <f>HYPERLINK("https://eping.wto.org/en/Search?viewData= G/SPS/N/CHN/1323"," G/SPS/N/CHN/1323")</f>
      </c>
      <c r="D16" s="8" t="s">
        <v>105</v>
      </c>
      <c r="E16" s="8" t="s">
        <v>106</v>
      </c>
      <c r="F16" s="8" t="s">
        <v>107</v>
      </c>
      <c r="G16" s="8" t="s">
        <v>108</v>
      </c>
      <c r="H16" s="8" t="s">
        <v>22</v>
      </c>
      <c r="I16" s="8" t="s">
        <v>109</v>
      </c>
      <c r="J16" s="8" t="s">
        <v>110</v>
      </c>
      <c r="K16" s="6" t="s">
        <v>22</v>
      </c>
      <c r="L16" s="7">
        <v>45724</v>
      </c>
      <c r="M16" s="6" t="s">
        <v>32</v>
      </c>
      <c r="N16" s="8" t="s">
        <v>111</v>
      </c>
      <c r="O16" s="6">
        <f>HYPERLINK("https://docs.wto.org/imrd/directdoc.asp?DDFDocuments/t/G/SPS/NCHN1323.DOCX", "https://docs.wto.org/imrd/directdoc.asp?DDFDocuments/t/G/SPS/NCHN1323.DOCX")</f>
      </c>
      <c r="P16" s="6">
        <f>HYPERLINK("https://docs.wto.org/imrd/directdoc.asp?DDFDocuments/u/G/SPS/NCHN1323.DOCX", "https://docs.wto.org/imrd/directdoc.asp?DDFDocuments/u/G/SPS/NCHN1323.DOCX")</f>
      </c>
      <c r="Q16" s="6">
        <f>HYPERLINK("https://docs.wto.org/imrd/directdoc.asp?DDFDocuments/v/G/SPS/NCHN1323.DOCX", "https://docs.wto.org/imrd/directdoc.asp?DDFDocuments/v/G/SPS/NCHN1323.DOCX")</f>
      </c>
    </row>
    <row r="17">
      <c r="A17" s="6" t="s">
        <v>42</v>
      </c>
      <c r="B17" s="7">
        <v>45664</v>
      </c>
      <c r="C17" s="9">
        <f>HYPERLINK("https://eping.wto.org/en/Search?viewData= G/TBT/N/VNM/333"," G/TBT/N/VNM/333")</f>
      </c>
      <c r="D17" s="8" t="s">
        <v>112</v>
      </c>
      <c r="E17" s="8" t="s">
        <v>113</v>
      </c>
      <c r="F17" s="8" t="s">
        <v>114</v>
      </c>
      <c r="G17" s="8" t="s">
        <v>22</v>
      </c>
      <c r="H17" s="8" t="s">
        <v>115</v>
      </c>
      <c r="I17" s="8" t="s">
        <v>39</v>
      </c>
      <c r="J17" s="8" t="s">
        <v>58</v>
      </c>
      <c r="K17" s="6"/>
      <c r="L17" s="7">
        <v>45724</v>
      </c>
      <c r="M17" s="6" t="s">
        <v>32</v>
      </c>
      <c r="N17" s="8" t="s">
        <v>116</v>
      </c>
      <c r="O17" s="6">
        <f>HYPERLINK("https://docs.wto.org/imrd/directdoc.asp?DDFDocuments/t/G/TBTN25/VNM333.DOCX", "https://docs.wto.org/imrd/directdoc.asp?DDFDocuments/t/G/TBTN25/VNM333.DOCX")</f>
      </c>
      <c r="P17" s="6">
        <f>HYPERLINK("https://docs.wto.org/imrd/directdoc.asp?DDFDocuments/u/G/TBTN25/VNM333.DOCX", "https://docs.wto.org/imrd/directdoc.asp?DDFDocuments/u/G/TBTN25/VNM333.DOCX")</f>
      </c>
      <c r="Q17" s="6">
        <f>HYPERLINK("https://docs.wto.org/imrd/directdoc.asp?DDFDocuments/v/G/TBTN25/VNM333.DOCX", "https://docs.wto.org/imrd/directdoc.asp?DDFDocuments/v/G/TBTN25/VNM333.DOCX")</f>
      </c>
    </row>
    <row r="18">
      <c r="A18" s="6" t="s">
        <v>17</v>
      </c>
      <c r="B18" s="7">
        <v>45664</v>
      </c>
      <c r="C18" s="9">
        <f>HYPERLINK("https://eping.wto.org/en/Search?viewData= G/SPS/N/KOR/816"," G/SPS/N/KOR/816")</f>
      </c>
      <c r="D18" s="8" t="s">
        <v>117</v>
      </c>
      <c r="E18" s="8" t="s">
        <v>118</v>
      </c>
      <c r="F18" s="8" t="s">
        <v>119</v>
      </c>
      <c r="G18" s="8" t="s">
        <v>22</v>
      </c>
      <c r="H18" s="8" t="s">
        <v>22</v>
      </c>
      <c r="I18" s="8" t="s">
        <v>120</v>
      </c>
      <c r="J18" s="8" t="s">
        <v>121</v>
      </c>
      <c r="K18" s="6" t="s">
        <v>22</v>
      </c>
      <c r="L18" s="7">
        <v>45724</v>
      </c>
      <c r="M18" s="6" t="s">
        <v>32</v>
      </c>
      <c r="N18" s="8" t="s">
        <v>122</v>
      </c>
      <c r="O18" s="6">
        <f>HYPERLINK("https://docs.wto.org/imrd/directdoc.asp?DDFDocuments/t/G/SPS/NKOR816.DOCX", "https://docs.wto.org/imrd/directdoc.asp?DDFDocuments/t/G/SPS/NKOR816.DOCX")</f>
      </c>
      <c r="P18" s="6">
        <f>HYPERLINK("https://docs.wto.org/imrd/directdoc.asp?DDFDocuments/u/G/SPS/NKOR816.DOCX", "https://docs.wto.org/imrd/directdoc.asp?DDFDocuments/u/G/SPS/NKOR816.DOCX")</f>
      </c>
      <c r="Q18" s="6">
        <f>HYPERLINK("https://docs.wto.org/imrd/directdoc.asp?DDFDocuments/v/G/SPS/NKOR816.DOCX", "https://docs.wto.org/imrd/directdoc.asp?DDFDocuments/v/G/SPS/NKOR816.DOCX")</f>
      </c>
    </row>
    <row r="19">
      <c r="A19" s="6" t="s">
        <v>123</v>
      </c>
      <c r="B19" s="7">
        <v>45664</v>
      </c>
      <c r="C19" s="9">
        <f>HYPERLINK("https://eping.wto.org/en/Search?viewData= G/SPS/N/ECU/355"," G/SPS/N/ECU/355")</f>
      </c>
      <c r="D19" s="8" t="s">
        <v>124</v>
      </c>
      <c r="E19" s="8" t="s">
        <v>125</v>
      </c>
      <c r="F19" s="8" t="s">
        <v>126</v>
      </c>
      <c r="G19" s="8" t="s">
        <v>127</v>
      </c>
      <c r="H19" s="8" t="s">
        <v>22</v>
      </c>
      <c r="I19" s="8" t="s">
        <v>128</v>
      </c>
      <c r="J19" s="8" t="s">
        <v>129</v>
      </c>
      <c r="K19" s="6" t="s">
        <v>130</v>
      </c>
      <c r="L19" s="7">
        <v>45724</v>
      </c>
      <c r="M19" s="6" t="s">
        <v>32</v>
      </c>
      <c r="N19" s="8" t="s">
        <v>131</v>
      </c>
      <c r="O19" s="6">
        <f>HYPERLINK("https://docs.wto.org/imrd/directdoc.asp?DDFDocuments/t/G/SPS/NECU355.DOCX", "https://docs.wto.org/imrd/directdoc.asp?DDFDocuments/t/G/SPS/NECU355.DOCX")</f>
      </c>
      <c r="P19" s="6">
        <f>HYPERLINK("https://docs.wto.org/imrd/directdoc.asp?DDFDocuments/u/G/SPS/NECU355.DOCX", "https://docs.wto.org/imrd/directdoc.asp?DDFDocuments/u/G/SPS/NECU355.DOCX")</f>
      </c>
      <c r="Q19" s="6">
        <f>HYPERLINK("https://docs.wto.org/imrd/directdoc.asp?DDFDocuments/v/G/SPS/NECU355.DOCX", "https://docs.wto.org/imrd/directdoc.asp?DDFDocuments/v/G/SPS/NECU355.DOCX")</f>
      </c>
    </row>
    <row r="20">
      <c r="A20" s="6" t="s">
        <v>49</v>
      </c>
      <c r="B20" s="7">
        <v>45664</v>
      </c>
      <c r="C20" s="9">
        <f>HYPERLINK("https://eping.wto.org/en/Search?viewData= G/TBT/N/BDI/538, G/TBT/N/KEN/1729, G/TBT/N/RWA/1105, G/TBT/N/TZA/1241, G/TBT/N/UGA/2078"," G/TBT/N/BDI/538, G/TBT/N/KEN/1729, G/TBT/N/RWA/1105, G/TBT/N/TZA/1241, G/TBT/N/UGA/2078")</f>
      </c>
      <c r="D20" s="8" t="s">
        <v>90</v>
      </c>
      <c r="E20" s="8" t="s">
        <v>91</v>
      </c>
      <c r="F20" s="8" t="s">
        <v>92</v>
      </c>
      <c r="G20" s="8" t="s">
        <v>22</v>
      </c>
      <c r="H20" s="8" t="s">
        <v>93</v>
      </c>
      <c r="I20" s="8" t="s">
        <v>31</v>
      </c>
      <c r="J20" s="8" t="s">
        <v>58</v>
      </c>
      <c r="K20" s="6"/>
      <c r="L20" s="7">
        <v>45724</v>
      </c>
      <c r="M20" s="6" t="s">
        <v>32</v>
      </c>
      <c r="N20" s="8" t="s">
        <v>94</v>
      </c>
      <c r="O20" s="6">
        <f>HYPERLINK("https://docs.wto.org/imrd/directdoc.asp?DDFDocuments/t/G/TBTN25/BDI538.DOCX", "https://docs.wto.org/imrd/directdoc.asp?DDFDocuments/t/G/TBTN25/BDI538.DOCX")</f>
      </c>
      <c r="P20" s="6">
        <f>HYPERLINK("https://docs.wto.org/imrd/directdoc.asp?DDFDocuments/u/G/TBTN25/BDI538.DOCX", "https://docs.wto.org/imrd/directdoc.asp?DDFDocuments/u/G/TBTN25/BDI538.DOCX")</f>
      </c>
      <c r="Q20" s="6">
        <f>HYPERLINK("https://docs.wto.org/imrd/directdoc.asp?DDFDocuments/v/G/TBTN25/BDI538.DOCX", "https://docs.wto.org/imrd/directdoc.asp?DDFDocuments/v/G/TBTN25/BDI538.DOCX")</f>
      </c>
    </row>
    <row r="21">
      <c r="A21" s="6" t="s">
        <v>68</v>
      </c>
      <c r="B21" s="7">
        <v>45664</v>
      </c>
      <c r="C21" s="9">
        <f>HYPERLINK("https://eping.wto.org/en/Search?viewData= G/TBT/N/BDI/539, G/TBT/N/KEN/1731, G/TBT/N/RWA/1106, G/TBT/N/TZA/1242, G/TBT/N/UGA/2079"," G/TBT/N/BDI/539, G/TBT/N/KEN/1731, G/TBT/N/RWA/1106, G/TBT/N/TZA/1242, G/TBT/N/UGA/2079")</f>
      </c>
      <c r="D21" s="8" t="s">
        <v>54</v>
      </c>
      <c r="E21" s="8" t="s">
        <v>55</v>
      </c>
      <c r="F21" s="8" t="s">
        <v>56</v>
      </c>
      <c r="G21" s="8" t="s">
        <v>22</v>
      </c>
      <c r="H21" s="8" t="s">
        <v>57</v>
      </c>
      <c r="I21" s="8" t="s">
        <v>31</v>
      </c>
      <c r="J21" s="8" t="s">
        <v>58</v>
      </c>
      <c r="K21" s="6"/>
      <c r="L21" s="7">
        <v>45724</v>
      </c>
      <c r="M21" s="6" t="s">
        <v>32</v>
      </c>
      <c r="N21" s="8" t="s">
        <v>59</v>
      </c>
      <c r="O21" s="6">
        <f>HYPERLINK("https://docs.wto.org/imrd/directdoc.asp?DDFDocuments/t/G/TBTN25/BDI539.DOCX", "https://docs.wto.org/imrd/directdoc.asp?DDFDocuments/t/G/TBTN25/BDI539.DOCX")</f>
      </c>
      <c r="P21" s="6">
        <f>HYPERLINK("https://docs.wto.org/imrd/directdoc.asp?DDFDocuments/u/G/TBTN25/BDI539.DOCX", "https://docs.wto.org/imrd/directdoc.asp?DDFDocuments/u/G/TBTN25/BDI539.DOCX")</f>
      </c>
      <c r="Q21" s="6">
        <f>HYPERLINK("https://docs.wto.org/imrd/directdoc.asp?DDFDocuments/v/G/TBTN25/BDI539.DOCX", "https://docs.wto.org/imrd/directdoc.asp?DDFDocuments/v/G/TBTN25/BDI539.DOCX")</f>
      </c>
    </row>
    <row r="22">
      <c r="A22" s="6" t="s">
        <v>132</v>
      </c>
      <c r="B22" s="7">
        <v>45664</v>
      </c>
      <c r="C22" s="9">
        <f>HYPERLINK("https://eping.wto.org/en/Search?viewData= G/TBT/N/CAN/734"," G/TBT/N/CAN/734")</f>
      </c>
      <c r="D22" s="8" t="s">
        <v>133</v>
      </c>
      <c r="E22" s="8" t="s">
        <v>134</v>
      </c>
      <c r="F22" s="8" t="s">
        <v>135</v>
      </c>
      <c r="G22" s="8" t="s">
        <v>136</v>
      </c>
      <c r="H22" s="8" t="s">
        <v>137</v>
      </c>
      <c r="I22" s="8" t="s">
        <v>138</v>
      </c>
      <c r="J22" s="8" t="s">
        <v>139</v>
      </c>
      <c r="K22" s="6"/>
      <c r="L22" s="7">
        <v>45707</v>
      </c>
      <c r="M22" s="6" t="s">
        <v>32</v>
      </c>
      <c r="N22" s="6"/>
      <c r="O22" s="6">
        <f>HYPERLINK("https://docs.wto.org/imrd/directdoc.asp?DDFDocuments/t/G/TBTN25/CAN734.DOCX", "https://docs.wto.org/imrd/directdoc.asp?DDFDocuments/t/G/TBTN25/CAN734.DOCX")</f>
      </c>
      <c r="P22" s="6">
        <f>HYPERLINK("https://docs.wto.org/imrd/directdoc.asp?DDFDocuments/u/G/TBTN25/CAN734.DOCX", "https://docs.wto.org/imrd/directdoc.asp?DDFDocuments/u/G/TBTN25/CAN734.DOCX")</f>
      </c>
      <c r="Q22" s="6">
        <f>HYPERLINK("https://docs.wto.org/imrd/directdoc.asp?DDFDocuments/v/G/TBTN25/CAN734.DOCX", "https://docs.wto.org/imrd/directdoc.asp?DDFDocuments/v/G/TBTN25/CAN734.DOCX")</f>
      </c>
    </row>
    <row r="23">
      <c r="A23" s="6" t="s">
        <v>140</v>
      </c>
      <c r="B23" s="7">
        <v>45664</v>
      </c>
      <c r="C23" s="9">
        <f>HYPERLINK("https://eping.wto.org/en/Search?viewData= G/SPS/N/LKA/34/Add.3"," G/SPS/N/LKA/34/Add.3")</f>
      </c>
      <c r="D23" s="8" t="s">
        <v>141</v>
      </c>
      <c r="E23" s="8" t="s">
        <v>142</v>
      </c>
      <c r="F23" s="8" t="s">
        <v>143</v>
      </c>
      <c r="G23" s="8" t="s">
        <v>144</v>
      </c>
      <c r="H23" s="8" t="s">
        <v>22</v>
      </c>
      <c r="I23" s="8" t="s">
        <v>120</v>
      </c>
      <c r="J23" s="8" t="s">
        <v>145</v>
      </c>
      <c r="K23" s="6"/>
      <c r="L23" s="7" t="s">
        <v>22</v>
      </c>
      <c r="M23" s="6" t="s">
        <v>40</v>
      </c>
      <c r="N23" s="8" t="s">
        <v>146</v>
      </c>
      <c r="O23" s="6">
        <f>HYPERLINK("https://docs.wto.org/imrd/directdoc.asp?DDFDocuments/t/G/SPS/NLKA34A3.DOCX", "https://docs.wto.org/imrd/directdoc.asp?DDFDocuments/t/G/SPS/NLKA34A3.DOCX")</f>
      </c>
      <c r="P23" s="6">
        <f>HYPERLINK("https://docs.wto.org/imrd/directdoc.asp?DDFDocuments/u/G/SPS/NLKA34A3.DOCX", "https://docs.wto.org/imrd/directdoc.asp?DDFDocuments/u/G/SPS/NLKA34A3.DOCX")</f>
      </c>
      <c r="Q23" s="6">
        <f>HYPERLINK("https://docs.wto.org/imrd/directdoc.asp?DDFDocuments/v/G/SPS/NLKA34A3.DOCX", "https://docs.wto.org/imrd/directdoc.asp?DDFDocuments/v/G/SPS/NLKA34A3.DOCX")</f>
      </c>
    </row>
    <row r="24">
      <c r="A24" s="6" t="s">
        <v>140</v>
      </c>
      <c r="B24" s="7">
        <v>45664</v>
      </c>
      <c r="C24" s="9">
        <f>HYPERLINK("https://eping.wto.org/en/Search?viewData= G/SPS/N/LKA/38/Add.2"," G/SPS/N/LKA/38/Add.2")</f>
      </c>
      <c r="D24" s="8" t="s">
        <v>147</v>
      </c>
      <c r="E24" s="8" t="s">
        <v>148</v>
      </c>
      <c r="F24" s="8" t="s">
        <v>149</v>
      </c>
      <c r="G24" s="8" t="s">
        <v>22</v>
      </c>
      <c r="H24" s="8" t="s">
        <v>115</v>
      </c>
      <c r="I24" s="8" t="s">
        <v>120</v>
      </c>
      <c r="J24" s="8" t="s">
        <v>150</v>
      </c>
      <c r="K24" s="6"/>
      <c r="L24" s="7" t="s">
        <v>22</v>
      </c>
      <c r="M24" s="6" t="s">
        <v>40</v>
      </c>
      <c r="N24" s="8" t="s">
        <v>151</v>
      </c>
      <c r="O24" s="6">
        <f>HYPERLINK("https://docs.wto.org/imrd/directdoc.asp?DDFDocuments/t/G/SPS/NLKA38A2.DOCX", "https://docs.wto.org/imrd/directdoc.asp?DDFDocuments/t/G/SPS/NLKA38A2.DOCX")</f>
      </c>
      <c r="P24" s="6">
        <f>HYPERLINK("https://docs.wto.org/imrd/directdoc.asp?DDFDocuments/u/G/SPS/NLKA38A2.DOCX", "https://docs.wto.org/imrd/directdoc.asp?DDFDocuments/u/G/SPS/NLKA38A2.DOCX")</f>
      </c>
      <c r="Q24" s="6">
        <f>HYPERLINK("https://docs.wto.org/imrd/directdoc.asp?DDFDocuments/v/G/SPS/NLKA38A2.DOCX", "https://docs.wto.org/imrd/directdoc.asp?DDFDocuments/v/G/SPS/NLKA38A2.DOCX")</f>
      </c>
    </row>
    <row r="25">
      <c r="A25" s="6" t="s">
        <v>53</v>
      </c>
      <c r="B25" s="7">
        <v>45664</v>
      </c>
      <c r="C25" s="9">
        <f>HYPERLINK("https://eping.wto.org/en/Search?viewData= G/TBT/N/BDI/535, G/TBT/N/KEN/1726, G/TBT/N/RWA/1102, G/TBT/N/TZA/1238, G/TBT/N/UGA/2075"," G/TBT/N/BDI/535, G/TBT/N/KEN/1726, G/TBT/N/RWA/1102, G/TBT/N/TZA/1238, G/TBT/N/UGA/2075")</f>
      </c>
      <c r="D25" s="8" t="s">
        <v>27</v>
      </c>
      <c r="E25" s="8" t="s">
        <v>28</v>
      </c>
      <c r="F25" s="8" t="s">
        <v>29</v>
      </c>
      <c r="G25" s="8" t="s">
        <v>22</v>
      </c>
      <c r="H25" s="8" t="s">
        <v>30</v>
      </c>
      <c r="I25" s="8" t="s">
        <v>31</v>
      </c>
      <c r="J25" s="8" t="s">
        <v>22</v>
      </c>
      <c r="K25" s="6"/>
      <c r="L25" s="7">
        <v>45724</v>
      </c>
      <c r="M25" s="6" t="s">
        <v>32</v>
      </c>
      <c r="N25" s="8" t="s">
        <v>33</v>
      </c>
      <c r="O25" s="6">
        <f>HYPERLINK("https://docs.wto.org/imrd/directdoc.asp?DDFDocuments/t/G/TBTN25/BDI535.DOCX", "https://docs.wto.org/imrd/directdoc.asp?DDFDocuments/t/G/TBTN25/BDI535.DOCX")</f>
      </c>
      <c r="P25" s="6">
        <f>HYPERLINK("https://docs.wto.org/imrd/directdoc.asp?DDFDocuments/u/G/TBTN25/BDI535.DOCX", "https://docs.wto.org/imrd/directdoc.asp?DDFDocuments/u/G/TBTN25/BDI535.DOCX")</f>
      </c>
      <c r="Q25" s="6">
        <f>HYPERLINK("https://docs.wto.org/imrd/directdoc.asp?DDFDocuments/v/G/TBTN25/BDI535.DOCX", "https://docs.wto.org/imrd/directdoc.asp?DDFDocuments/v/G/TBTN25/BDI535.DOCX")</f>
      </c>
    </row>
    <row r="26">
      <c r="A26" s="6" t="s">
        <v>49</v>
      </c>
      <c r="B26" s="7">
        <v>45664</v>
      </c>
      <c r="C26" s="9">
        <f>HYPERLINK("https://eping.wto.org/en/Search?viewData= G/TBT/N/BDI/537, G/TBT/N/KEN/1728, G/TBT/N/RWA/1104, G/TBT/N/TZA/1240, G/TBT/N/UGA/2077"," G/TBT/N/BDI/537, G/TBT/N/KEN/1728, G/TBT/N/RWA/1104, G/TBT/N/TZA/1240, G/TBT/N/UGA/2077")</f>
      </c>
      <c r="D26" s="8" t="s">
        <v>95</v>
      </c>
      <c r="E26" s="8" t="s">
        <v>96</v>
      </c>
      <c r="F26" s="8" t="s">
        <v>29</v>
      </c>
      <c r="G26" s="8" t="s">
        <v>22</v>
      </c>
      <c r="H26" s="8" t="s">
        <v>30</v>
      </c>
      <c r="I26" s="8" t="s">
        <v>31</v>
      </c>
      <c r="J26" s="8" t="s">
        <v>22</v>
      </c>
      <c r="K26" s="6"/>
      <c r="L26" s="7">
        <v>45724</v>
      </c>
      <c r="M26" s="6" t="s">
        <v>32</v>
      </c>
      <c r="N26" s="8" t="s">
        <v>97</v>
      </c>
      <c r="O26" s="6">
        <f>HYPERLINK("https://docs.wto.org/imrd/directdoc.asp?DDFDocuments/t/G/TBTN25/BDI537.DOCX", "https://docs.wto.org/imrd/directdoc.asp?DDFDocuments/t/G/TBTN25/BDI537.DOCX")</f>
      </c>
      <c r="P26" s="6">
        <f>HYPERLINK("https://docs.wto.org/imrd/directdoc.asp?DDFDocuments/u/G/TBTN25/BDI537.DOCX", "https://docs.wto.org/imrd/directdoc.asp?DDFDocuments/u/G/TBTN25/BDI537.DOCX")</f>
      </c>
      <c r="Q26" s="6">
        <f>HYPERLINK("https://docs.wto.org/imrd/directdoc.asp?DDFDocuments/v/G/TBTN25/BDI537.DOCX", "https://docs.wto.org/imrd/directdoc.asp?DDFDocuments/v/G/TBTN25/BDI537.DOCX")</f>
      </c>
    </row>
    <row r="27">
      <c r="A27" s="6" t="s">
        <v>152</v>
      </c>
      <c r="B27" s="7">
        <v>45664</v>
      </c>
      <c r="C27" s="9">
        <f>HYPERLINK("https://eping.wto.org/en/Search?viewData= G/TBT/N/PER/154/Add.1"," G/TBT/N/PER/154/Add.1")</f>
      </c>
      <c r="D27" s="8" t="s">
        <v>153</v>
      </c>
      <c r="E27" s="8" t="s">
        <v>154</v>
      </c>
      <c r="F27" s="8" t="s">
        <v>155</v>
      </c>
      <c r="G27" s="8" t="s">
        <v>22</v>
      </c>
      <c r="H27" s="8" t="s">
        <v>156</v>
      </c>
      <c r="I27" s="8" t="s">
        <v>138</v>
      </c>
      <c r="J27" s="8" t="s">
        <v>157</v>
      </c>
      <c r="K27" s="6"/>
      <c r="L27" s="7" t="s">
        <v>22</v>
      </c>
      <c r="M27" s="6" t="s">
        <v>40</v>
      </c>
      <c r="N27" s="8" t="s">
        <v>158</v>
      </c>
      <c r="O27" s="6">
        <f>HYPERLINK("https://docs.wto.org/imrd/directdoc.asp?DDFDocuments/t/G/TBTN23/PER154A1.DOCX", "https://docs.wto.org/imrd/directdoc.asp?DDFDocuments/t/G/TBTN23/PER154A1.DOCX")</f>
      </c>
      <c r="P27" s="6">
        <f>HYPERLINK("https://docs.wto.org/imrd/directdoc.asp?DDFDocuments/u/G/TBTN23/PER154A1.DOCX", "https://docs.wto.org/imrd/directdoc.asp?DDFDocuments/u/G/TBTN23/PER154A1.DOCX")</f>
      </c>
      <c r="Q27" s="6">
        <f>HYPERLINK("https://docs.wto.org/imrd/directdoc.asp?DDFDocuments/v/G/TBTN23/PER154A1.DOCX", "https://docs.wto.org/imrd/directdoc.asp?DDFDocuments/v/G/TBTN23/PER154A1.DOCX")</f>
      </c>
    </row>
    <row r="28">
      <c r="A28" s="6" t="s">
        <v>159</v>
      </c>
      <c r="B28" s="7">
        <v>45664</v>
      </c>
      <c r="C28" s="9">
        <f>HYPERLINK("https://eping.wto.org/en/Search?viewData= G/TBT/N/ARM/106"," G/TBT/N/ARM/106")</f>
      </c>
      <c r="D28" s="8" t="s">
        <v>160</v>
      </c>
      <c r="E28" s="8" t="s">
        <v>161</v>
      </c>
      <c r="F28" s="8" t="s">
        <v>162</v>
      </c>
      <c r="G28" s="8" t="s">
        <v>163</v>
      </c>
      <c r="H28" s="8" t="s">
        <v>164</v>
      </c>
      <c r="I28" s="8" t="s">
        <v>88</v>
      </c>
      <c r="J28" s="8" t="s">
        <v>22</v>
      </c>
      <c r="K28" s="6"/>
      <c r="L28" s="7">
        <v>45672</v>
      </c>
      <c r="M28" s="6" t="s">
        <v>32</v>
      </c>
      <c r="N28" s="6"/>
      <c r="O28" s="6">
        <f>HYPERLINK("https://docs.wto.org/imrd/directdoc.asp?DDFDocuments/t/G/TBTN25/ARM106.DOCX", "https://docs.wto.org/imrd/directdoc.asp?DDFDocuments/t/G/TBTN25/ARM106.DOCX")</f>
      </c>
      <c r="P28" s="6">
        <f>HYPERLINK("https://docs.wto.org/imrd/directdoc.asp?DDFDocuments/u/G/TBTN25/ARM106.DOCX", "https://docs.wto.org/imrd/directdoc.asp?DDFDocuments/u/G/TBTN25/ARM106.DOCX")</f>
      </c>
      <c r="Q28" s="6">
        <f>HYPERLINK("https://docs.wto.org/imrd/directdoc.asp?DDFDocuments/v/G/TBTN25/ARM106.DOCX", "https://docs.wto.org/imrd/directdoc.asp?DDFDocuments/v/G/TBTN25/ARM106.DOCX")</f>
      </c>
    </row>
    <row r="29">
      <c r="A29" s="6" t="s">
        <v>82</v>
      </c>
      <c r="B29" s="7">
        <v>45664</v>
      </c>
      <c r="C29" s="9">
        <f>HYPERLINK("https://eping.wto.org/en/Search?viewData= G/TBT/N/BRA/1478/Add.2"," G/TBT/N/BRA/1478/Add.2")</f>
      </c>
      <c r="D29" s="8" t="s">
        <v>165</v>
      </c>
      <c r="E29" s="8" t="s">
        <v>166</v>
      </c>
      <c r="F29" s="8" t="s">
        <v>167</v>
      </c>
      <c r="G29" s="8" t="s">
        <v>22</v>
      </c>
      <c r="H29" s="8" t="s">
        <v>22</v>
      </c>
      <c r="I29" s="8" t="s">
        <v>168</v>
      </c>
      <c r="J29" s="8" t="s">
        <v>157</v>
      </c>
      <c r="K29" s="6"/>
      <c r="L29" s="7" t="s">
        <v>22</v>
      </c>
      <c r="M29" s="6" t="s">
        <v>40</v>
      </c>
      <c r="N29" s="8" t="s">
        <v>169</v>
      </c>
      <c r="O29" s="6">
        <f>HYPERLINK("https://docs.wto.org/imrd/directdoc.asp?DDFDocuments/t/G/TBTN23/BRA1478A2.DOCX", "https://docs.wto.org/imrd/directdoc.asp?DDFDocuments/t/G/TBTN23/BRA1478A2.DOCX")</f>
      </c>
      <c r="P29" s="6">
        <f>HYPERLINK("https://docs.wto.org/imrd/directdoc.asp?DDFDocuments/u/G/TBTN23/BRA1478A2.DOCX", "https://docs.wto.org/imrd/directdoc.asp?DDFDocuments/u/G/TBTN23/BRA1478A2.DOCX")</f>
      </c>
      <c r="Q29" s="6">
        <f>HYPERLINK("https://docs.wto.org/imrd/directdoc.asp?DDFDocuments/v/G/TBTN23/BRA1478A2.DOCX", "https://docs.wto.org/imrd/directdoc.asp?DDFDocuments/v/G/TBTN23/BRA1478A2.DOCX")</f>
      </c>
    </row>
    <row r="30">
      <c r="A30" s="6" t="s">
        <v>170</v>
      </c>
      <c r="B30" s="7">
        <v>45664</v>
      </c>
      <c r="C30" s="9">
        <f>HYPERLINK("https://eping.wto.org/en/Search?viewData= G/SPS/N/SAU/538/Add.1"," G/SPS/N/SAU/538/Add.1")</f>
      </c>
      <c r="D30" s="8" t="s">
        <v>171</v>
      </c>
      <c r="E30" s="8" t="s">
        <v>172</v>
      </c>
      <c r="F30" s="8" t="s">
        <v>173</v>
      </c>
      <c r="G30" s="8" t="s">
        <v>174</v>
      </c>
      <c r="H30" s="8" t="s">
        <v>22</v>
      </c>
      <c r="I30" s="8" t="s">
        <v>175</v>
      </c>
      <c r="J30" s="8" t="s">
        <v>176</v>
      </c>
      <c r="K30" s="6"/>
      <c r="L30" s="7" t="s">
        <v>22</v>
      </c>
      <c r="M30" s="6" t="s">
        <v>24</v>
      </c>
      <c r="N30" s="8" t="s">
        <v>177</v>
      </c>
      <c r="O30" s="6">
        <f>HYPERLINK("https://docs.wto.org/imrd/directdoc.asp?DDFDocuments/t/G/SPS/NSAU538A1.DOCX", "https://docs.wto.org/imrd/directdoc.asp?DDFDocuments/t/G/SPS/NSAU538A1.DOCX")</f>
      </c>
      <c r="P30" s="6">
        <f>HYPERLINK("https://docs.wto.org/imrd/directdoc.asp?DDFDocuments/u/G/SPS/NSAU538A1.DOCX", "https://docs.wto.org/imrd/directdoc.asp?DDFDocuments/u/G/SPS/NSAU538A1.DOCX")</f>
      </c>
      <c r="Q30" s="6">
        <f>HYPERLINK("https://docs.wto.org/imrd/directdoc.asp?DDFDocuments/v/G/SPS/NSAU538A1.DOCX", "https://docs.wto.org/imrd/directdoc.asp?DDFDocuments/v/G/SPS/NSAU538A1.DOCX")</f>
      </c>
    </row>
    <row r="31">
      <c r="A31" s="6" t="s">
        <v>34</v>
      </c>
      <c r="B31" s="7">
        <v>45664</v>
      </c>
      <c r="C31" s="9">
        <f>HYPERLINK("https://eping.wto.org/en/Search?viewData= G/TBT/N/TPKM/550/Add.1"," G/TBT/N/TPKM/550/Add.1")</f>
      </c>
      <c r="D31" s="8" t="s">
        <v>178</v>
      </c>
      <c r="E31" s="8" t="s">
        <v>179</v>
      </c>
      <c r="F31" s="8" t="s">
        <v>180</v>
      </c>
      <c r="G31" s="8" t="s">
        <v>181</v>
      </c>
      <c r="H31" s="8" t="s">
        <v>182</v>
      </c>
      <c r="I31" s="8" t="s">
        <v>183</v>
      </c>
      <c r="J31" s="8" t="s">
        <v>22</v>
      </c>
      <c r="K31" s="6"/>
      <c r="L31" s="7" t="s">
        <v>22</v>
      </c>
      <c r="M31" s="6" t="s">
        <v>40</v>
      </c>
      <c r="N31" s="8" t="s">
        <v>184</v>
      </c>
      <c r="O31" s="6">
        <f>HYPERLINK("https://docs.wto.org/imrd/directdoc.asp?DDFDocuments/t/G/TBTN24/TPKM550A1.DOCX", "https://docs.wto.org/imrd/directdoc.asp?DDFDocuments/t/G/TBTN24/TPKM550A1.DOCX")</f>
      </c>
      <c r="P31" s="6">
        <f>HYPERLINK("https://docs.wto.org/imrd/directdoc.asp?DDFDocuments/u/G/TBTN24/TPKM550A1.DOCX", "https://docs.wto.org/imrd/directdoc.asp?DDFDocuments/u/G/TBTN24/TPKM550A1.DOCX")</f>
      </c>
      <c r="Q31" s="6">
        <f>HYPERLINK("https://docs.wto.org/imrd/directdoc.asp?DDFDocuments/v/G/TBTN24/TPKM550A1.DOCX", "https://docs.wto.org/imrd/directdoc.asp?DDFDocuments/v/G/TBTN24/TPKM550A1.DOCX")</f>
      </c>
    </row>
    <row r="32">
      <c r="A32" s="6" t="s">
        <v>82</v>
      </c>
      <c r="B32" s="7">
        <v>45664</v>
      </c>
      <c r="C32" s="9">
        <f>HYPERLINK("https://eping.wto.org/en/Search?viewData= G/TBT/N/BRA/1288/Add.2"," G/TBT/N/BRA/1288/Add.2")</f>
      </c>
      <c r="D32" s="8" t="s">
        <v>185</v>
      </c>
      <c r="E32" s="8" t="s">
        <v>186</v>
      </c>
      <c r="F32" s="8" t="s">
        <v>187</v>
      </c>
      <c r="G32" s="8" t="s">
        <v>188</v>
      </c>
      <c r="H32" s="8" t="s">
        <v>189</v>
      </c>
      <c r="I32" s="8" t="s">
        <v>138</v>
      </c>
      <c r="J32" s="8" t="s">
        <v>22</v>
      </c>
      <c r="K32" s="6"/>
      <c r="L32" s="7" t="s">
        <v>22</v>
      </c>
      <c r="M32" s="6" t="s">
        <v>40</v>
      </c>
      <c r="N32" s="8" t="s">
        <v>190</v>
      </c>
      <c r="O32" s="6">
        <f>HYPERLINK("https://docs.wto.org/imrd/directdoc.asp?DDFDocuments/t/G/TBTN21/BRA1288A2.DOCX", "https://docs.wto.org/imrd/directdoc.asp?DDFDocuments/t/G/TBTN21/BRA1288A2.DOCX")</f>
      </c>
      <c r="P32" s="6">
        <f>HYPERLINK("https://docs.wto.org/imrd/directdoc.asp?DDFDocuments/u/G/TBTN21/BRA1288A2.DOCX", "https://docs.wto.org/imrd/directdoc.asp?DDFDocuments/u/G/TBTN21/BRA1288A2.DOCX")</f>
      </c>
      <c r="Q32" s="6">
        <f>HYPERLINK("https://docs.wto.org/imrd/directdoc.asp?DDFDocuments/v/G/TBTN21/BRA1288A2.DOCX", "https://docs.wto.org/imrd/directdoc.asp?DDFDocuments/v/G/TBTN21/BRA1288A2.DOCX")</f>
      </c>
    </row>
    <row r="33">
      <c r="A33" s="6" t="s">
        <v>26</v>
      </c>
      <c r="B33" s="7">
        <v>45664</v>
      </c>
      <c r="C33" s="9">
        <f>HYPERLINK("https://eping.wto.org/en/Search?viewData= G/TBT/N/BDI/536, G/TBT/N/KEN/1727, G/TBT/N/RWA/1103, G/TBT/N/TZA/1239, G/TBT/N/UGA/2076"," G/TBT/N/BDI/536, G/TBT/N/KEN/1727, G/TBT/N/RWA/1103, G/TBT/N/TZA/1239, G/TBT/N/UGA/2076")</f>
      </c>
      <c r="D33" s="8" t="s">
        <v>191</v>
      </c>
      <c r="E33" s="8" t="s">
        <v>192</v>
      </c>
      <c r="F33" s="8" t="s">
        <v>29</v>
      </c>
      <c r="G33" s="8" t="s">
        <v>22</v>
      </c>
      <c r="H33" s="8" t="s">
        <v>30</v>
      </c>
      <c r="I33" s="8" t="s">
        <v>31</v>
      </c>
      <c r="J33" s="8" t="s">
        <v>22</v>
      </c>
      <c r="K33" s="6"/>
      <c r="L33" s="7">
        <v>45724</v>
      </c>
      <c r="M33" s="6" t="s">
        <v>32</v>
      </c>
      <c r="N33" s="8" t="s">
        <v>193</v>
      </c>
      <c r="O33" s="6">
        <f>HYPERLINK("https://docs.wto.org/imrd/directdoc.asp?DDFDocuments/t/G/TBTN25/BDI536.DOCX", "https://docs.wto.org/imrd/directdoc.asp?DDFDocuments/t/G/TBTN25/BDI536.DOCX")</f>
      </c>
      <c r="P33" s="6">
        <f>HYPERLINK("https://docs.wto.org/imrd/directdoc.asp?DDFDocuments/u/G/TBTN25/BDI536.DOCX", "https://docs.wto.org/imrd/directdoc.asp?DDFDocuments/u/G/TBTN25/BDI536.DOCX")</f>
      </c>
      <c r="Q33" s="6">
        <f>HYPERLINK("https://docs.wto.org/imrd/directdoc.asp?DDFDocuments/v/G/TBTN25/BDI536.DOCX", "https://docs.wto.org/imrd/directdoc.asp?DDFDocuments/v/G/TBTN25/BDI536.DOCX")</f>
      </c>
    </row>
    <row r="34">
      <c r="A34" s="6" t="s">
        <v>26</v>
      </c>
      <c r="B34" s="7">
        <v>45664</v>
      </c>
      <c r="C34" s="9">
        <f>HYPERLINK("https://eping.wto.org/en/Search?viewData= G/TBT/N/BDI/539, G/TBT/N/KEN/1731, G/TBT/N/RWA/1106, G/TBT/N/TZA/1242, G/TBT/N/UGA/2079"," G/TBT/N/BDI/539, G/TBT/N/KEN/1731, G/TBT/N/RWA/1106, G/TBT/N/TZA/1242, G/TBT/N/UGA/2079")</f>
      </c>
      <c r="D34" s="8" t="s">
        <v>54</v>
      </c>
      <c r="E34" s="8" t="s">
        <v>55</v>
      </c>
      <c r="F34" s="8" t="s">
        <v>56</v>
      </c>
      <c r="G34" s="8" t="s">
        <v>22</v>
      </c>
      <c r="H34" s="8" t="s">
        <v>57</v>
      </c>
      <c r="I34" s="8" t="s">
        <v>31</v>
      </c>
      <c r="J34" s="8" t="s">
        <v>58</v>
      </c>
      <c r="K34" s="6"/>
      <c r="L34" s="7">
        <v>45724</v>
      </c>
      <c r="M34" s="6" t="s">
        <v>32</v>
      </c>
      <c r="N34" s="8" t="s">
        <v>59</v>
      </c>
      <c r="O34" s="6">
        <f>HYPERLINK("https://docs.wto.org/imrd/directdoc.asp?DDFDocuments/t/G/TBTN25/BDI539.DOCX", "https://docs.wto.org/imrd/directdoc.asp?DDFDocuments/t/G/TBTN25/BDI539.DOCX")</f>
      </c>
      <c r="P34" s="6">
        <f>HYPERLINK("https://docs.wto.org/imrd/directdoc.asp?DDFDocuments/u/G/TBTN25/BDI539.DOCX", "https://docs.wto.org/imrd/directdoc.asp?DDFDocuments/u/G/TBTN25/BDI539.DOCX")</f>
      </c>
      <c r="Q34" s="6">
        <f>HYPERLINK("https://docs.wto.org/imrd/directdoc.asp?DDFDocuments/v/G/TBTN25/BDI539.DOCX", "https://docs.wto.org/imrd/directdoc.asp?DDFDocuments/v/G/TBTN25/BDI539.DOCX")</f>
      </c>
    </row>
    <row r="35">
      <c r="A35" s="6" t="s">
        <v>60</v>
      </c>
      <c r="B35" s="7">
        <v>45664</v>
      </c>
      <c r="C35" s="9">
        <f>HYPERLINK("https://eping.wto.org/en/Search?viewData= G/TBT/N/BDI/535, G/TBT/N/KEN/1726, G/TBT/N/RWA/1102, G/TBT/N/TZA/1238, G/TBT/N/UGA/2075"," G/TBT/N/BDI/535, G/TBT/N/KEN/1726, G/TBT/N/RWA/1102, G/TBT/N/TZA/1238, G/TBT/N/UGA/2075")</f>
      </c>
      <c r="D35" s="8" t="s">
        <v>27</v>
      </c>
      <c r="E35" s="8" t="s">
        <v>28</v>
      </c>
      <c r="F35" s="8" t="s">
        <v>29</v>
      </c>
      <c r="G35" s="8" t="s">
        <v>22</v>
      </c>
      <c r="H35" s="8" t="s">
        <v>30</v>
      </c>
      <c r="I35" s="8" t="s">
        <v>31</v>
      </c>
      <c r="J35" s="8" t="s">
        <v>22</v>
      </c>
      <c r="K35" s="6"/>
      <c r="L35" s="7">
        <v>45724</v>
      </c>
      <c r="M35" s="6" t="s">
        <v>32</v>
      </c>
      <c r="N35" s="8" t="s">
        <v>33</v>
      </c>
      <c r="O35" s="6">
        <f>HYPERLINK("https://docs.wto.org/imrd/directdoc.asp?DDFDocuments/t/G/TBTN25/BDI535.DOCX", "https://docs.wto.org/imrd/directdoc.asp?DDFDocuments/t/G/TBTN25/BDI535.DOCX")</f>
      </c>
      <c r="P35" s="6">
        <f>HYPERLINK("https://docs.wto.org/imrd/directdoc.asp?DDFDocuments/u/G/TBTN25/BDI535.DOCX", "https://docs.wto.org/imrd/directdoc.asp?DDFDocuments/u/G/TBTN25/BDI535.DOCX")</f>
      </c>
      <c r="Q35" s="6">
        <f>HYPERLINK("https://docs.wto.org/imrd/directdoc.asp?DDFDocuments/v/G/TBTN25/BDI535.DOCX", "https://docs.wto.org/imrd/directdoc.asp?DDFDocuments/v/G/TBTN25/BDI535.DOCX")</f>
      </c>
    </row>
    <row r="36">
      <c r="A36" s="6" t="s">
        <v>159</v>
      </c>
      <c r="B36" s="7">
        <v>45664</v>
      </c>
      <c r="C36" s="9">
        <f>HYPERLINK("https://eping.wto.org/en/Search?viewData= G/TBT/N/ARM/105"," G/TBT/N/ARM/105")</f>
      </c>
      <c r="D36" s="8" t="s">
        <v>194</v>
      </c>
      <c r="E36" s="8" t="s">
        <v>195</v>
      </c>
      <c r="F36" s="8" t="s">
        <v>196</v>
      </c>
      <c r="G36" s="8" t="s">
        <v>22</v>
      </c>
      <c r="H36" s="8" t="s">
        <v>197</v>
      </c>
      <c r="I36" s="8" t="s">
        <v>39</v>
      </c>
      <c r="J36" s="8" t="s">
        <v>22</v>
      </c>
      <c r="K36" s="6"/>
      <c r="L36" s="7">
        <v>45672</v>
      </c>
      <c r="M36" s="6" t="s">
        <v>32</v>
      </c>
      <c r="N36" s="6"/>
      <c r="O36" s="6">
        <f>HYPERLINK("https://docs.wto.org/imrd/directdoc.asp?DDFDocuments/t/G/TBTN25/ARM105.DOCX", "https://docs.wto.org/imrd/directdoc.asp?DDFDocuments/t/G/TBTN25/ARM105.DOCX")</f>
      </c>
      <c r="P36" s="6">
        <f>HYPERLINK("https://docs.wto.org/imrd/directdoc.asp?DDFDocuments/u/G/TBTN25/ARM105.DOCX", "https://docs.wto.org/imrd/directdoc.asp?DDFDocuments/u/G/TBTN25/ARM105.DOCX")</f>
      </c>
      <c r="Q36" s="6">
        <f>HYPERLINK("https://docs.wto.org/imrd/directdoc.asp?DDFDocuments/v/G/TBTN25/ARM105.DOCX", "https://docs.wto.org/imrd/directdoc.asp?DDFDocuments/v/G/TBTN25/ARM105.DOCX")</f>
      </c>
    </row>
    <row r="37">
      <c r="A37" s="6" t="s">
        <v>68</v>
      </c>
      <c r="B37" s="7">
        <v>45664</v>
      </c>
      <c r="C37" s="9">
        <f>HYPERLINK("https://eping.wto.org/en/Search?viewData= G/TBT/N/BDI/534, G/TBT/N/KEN/1725, G/TBT/N/RWA/1101, G/TBT/N/TZA/1237, G/TBT/N/UGA/2074"," G/TBT/N/BDI/534, G/TBT/N/KEN/1725, G/TBT/N/RWA/1101, G/TBT/N/TZA/1237, G/TBT/N/UGA/2074")</f>
      </c>
      <c r="D37" s="8" t="s">
        <v>50</v>
      </c>
      <c r="E37" s="8" t="s">
        <v>51</v>
      </c>
      <c r="F37" s="8" t="s">
        <v>29</v>
      </c>
      <c r="G37" s="8" t="s">
        <v>22</v>
      </c>
      <c r="H37" s="8" t="s">
        <v>30</v>
      </c>
      <c r="I37" s="8" t="s">
        <v>31</v>
      </c>
      <c r="J37" s="8" t="s">
        <v>22</v>
      </c>
      <c r="K37" s="6"/>
      <c r="L37" s="7">
        <v>45724</v>
      </c>
      <c r="M37" s="6" t="s">
        <v>32</v>
      </c>
      <c r="N37" s="8" t="s">
        <v>52</v>
      </c>
      <c r="O37" s="6">
        <f>HYPERLINK("https://docs.wto.org/imrd/directdoc.asp?DDFDocuments/t/G/TBTN25/BDI534.DOCX", "https://docs.wto.org/imrd/directdoc.asp?DDFDocuments/t/G/TBTN25/BDI534.DOCX")</f>
      </c>
      <c r="P37" s="6"/>
      <c r="Q37" s="6"/>
    </row>
    <row r="38">
      <c r="A38" s="6" t="s">
        <v>82</v>
      </c>
      <c r="B38" s="7">
        <v>45664</v>
      </c>
      <c r="C38" s="9">
        <f>HYPERLINK("https://eping.wto.org/en/Search?viewData= G/TBT/N/BRA/1204/Add.1"," G/TBT/N/BRA/1204/Add.1")</f>
      </c>
      <c r="D38" s="8" t="s">
        <v>198</v>
      </c>
      <c r="E38" s="8" t="s">
        <v>199</v>
      </c>
      <c r="F38" s="8" t="s">
        <v>200</v>
      </c>
      <c r="G38" s="8" t="s">
        <v>201</v>
      </c>
      <c r="H38" s="8" t="s">
        <v>202</v>
      </c>
      <c r="I38" s="8" t="s">
        <v>203</v>
      </c>
      <c r="J38" s="8" t="s">
        <v>22</v>
      </c>
      <c r="K38" s="6"/>
      <c r="L38" s="7" t="s">
        <v>22</v>
      </c>
      <c r="M38" s="6" t="s">
        <v>40</v>
      </c>
      <c r="N38" s="8" t="s">
        <v>204</v>
      </c>
      <c r="O38" s="6">
        <f>HYPERLINK("https://docs.wto.org/imrd/directdoc.asp?DDFDocuments/t/G/TBTN21/BRA1204A1.DOCX", "https://docs.wto.org/imrd/directdoc.asp?DDFDocuments/t/G/TBTN21/BRA1204A1.DOCX")</f>
      </c>
      <c r="P38" s="6"/>
      <c r="Q38" s="6"/>
    </row>
    <row r="39">
      <c r="A39" s="6" t="s">
        <v>53</v>
      </c>
      <c r="B39" s="7">
        <v>45664</v>
      </c>
      <c r="C39" s="9">
        <f>HYPERLINK("https://eping.wto.org/en/Search?viewData= G/TBT/N/KEN/1640/Add.1"," G/TBT/N/KEN/1640/Add.1")</f>
      </c>
      <c r="D39" s="8" t="s">
        <v>205</v>
      </c>
      <c r="E39" s="8" t="s">
        <v>206</v>
      </c>
      <c r="F39" s="8" t="s">
        <v>207</v>
      </c>
      <c r="G39" s="8" t="s">
        <v>22</v>
      </c>
      <c r="H39" s="8" t="s">
        <v>208</v>
      </c>
      <c r="I39" s="8" t="s">
        <v>209</v>
      </c>
      <c r="J39" s="8" t="s">
        <v>81</v>
      </c>
      <c r="K39" s="6"/>
      <c r="L39" s="7" t="s">
        <v>22</v>
      </c>
      <c r="M39" s="6" t="s">
        <v>40</v>
      </c>
      <c r="N39" s="6"/>
      <c r="O39" s="6">
        <f>HYPERLINK("https://docs.wto.org/imrd/directdoc.asp?DDFDocuments/t/G/TBTN24/KEN1640A1.DOCX", "https://docs.wto.org/imrd/directdoc.asp?DDFDocuments/t/G/TBTN24/KEN1640A1.DOCX")</f>
      </c>
      <c r="P39" s="6">
        <f>HYPERLINK("https://docs.wto.org/imrd/directdoc.asp?DDFDocuments/u/G/TBTN24/KEN1640A1.DOCX", "https://docs.wto.org/imrd/directdoc.asp?DDFDocuments/u/G/TBTN24/KEN1640A1.DOCX")</f>
      </c>
      <c r="Q39" s="6">
        <f>HYPERLINK("https://docs.wto.org/imrd/directdoc.asp?DDFDocuments/v/G/TBTN24/KEN1640A1.DOCX", "https://docs.wto.org/imrd/directdoc.asp?DDFDocuments/v/G/TBTN24/KEN1640A1.DOCX")</f>
      </c>
    </row>
    <row r="40">
      <c r="A40" s="6" t="s">
        <v>68</v>
      </c>
      <c r="B40" s="7">
        <v>45664</v>
      </c>
      <c r="C40" s="9">
        <f>HYPERLINK("https://eping.wto.org/en/Search?viewData= G/TBT/N/BDI/536, G/TBT/N/KEN/1727, G/TBT/N/RWA/1103, G/TBT/N/TZA/1239, G/TBT/N/UGA/2076"," G/TBT/N/BDI/536, G/TBT/N/KEN/1727, G/TBT/N/RWA/1103, G/TBT/N/TZA/1239, G/TBT/N/UGA/2076")</f>
      </c>
      <c r="D40" s="8" t="s">
        <v>191</v>
      </c>
      <c r="E40" s="8" t="s">
        <v>192</v>
      </c>
      <c r="F40" s="8" t="s">
        <v>29</v>
      </c>
      <c r="G40" s="8" t="s">
        <v>22</v>
      </c>
      <c r="H40" s="8" t="s">
        <v>30</v>
      </c>
      <c r="I40" s="8" t="s">
        <v>31</v>
      </c>
      <c r="J40" s="8" t="s">
        <v>22</v>
      </c>
      <c r="K40" s="6"/>
      <c r="L40" s="7">
        <v>45724</v>
      </c>
      <c r="M40" s="6" t="s">
        <v>32</v>
      </c>
      <c r="N40" s="8" t="s">
        <v>193</v>
      </c>
      <c r="O40" s="6">
        <f>HYPERLINK("https://docs.wto.org/imrd/directdoc.asp?DDFDocuments/t/G/TBTN25/BDI536.DOCX", "https://docs.wto.org/imrd/directdoc.asp?DDFDocuments/t/G/TBTN25/BDI536.DOCX")</f>
      </c>
      <c r="P40" s="6">
        <f>HYPERLINK("https://docs.wto.org/imrd/directdoc.asp?DDFDocuments/u/G/TBTN25/BDI536.DOCX", "https://docs.wto.org/imrd/directdoc.asp?DDFDocuments/u/G/TBTN25/BDI536.DOCX")</f>
      </c>
      <c r="Q40" s="6">
        <f>HYPERLINK("https://docs.wto.org/imrd/directdoc.asp?DDFDocuments/v/G/TBTN25/BDI536.DOCX", "https://docs.wto.org/imrd/directdoc.asp?DDFDocuments/v/G/TBTN25/BDI536.DOCX")</f>
      </c>
    </row>
    <row r="41">
      <c r="A41" s="6" t="s">
        <v>60</v>
      </c>
      <c r="B41" s="7">
        <v>45664</v>
      </c>
      <c r="C41" s="9">
        <f>HYPERLINK("https://eping.wto.org/en/Search?viewData= G/TBT/N/BDI/538, G/TBT/N/KEN/1729, G/TBT/N/RWA/1105, G/TBT/N/TZA/1241, G/TBT/N/UGA/2078"," G/TBT/N/BDI/538, G/TBT/N/KEN/1729, G/TBT/N/RWA/1105, G/TBT/N/TZA/1241, G/TBT/N/UGA/2078")</f>
      </c>
      <c r="D41" s="8" t="s">
        <v>90</v>
      </c>
      <c r="E41" s="8" t="s">
        <v>91</v>
      </c>
      <c r="F41" s="8" t="s">
        <v>92</v>
      </c>
      <c r="G41" s="8" t="s">
        <v>22</v>
      </c>
      <c r="H41" s="8" t="s">
        <v>93</v>
      </c>
      <c r="I41" s="8" t="s">
        <v>31</v>
      </c>
      <c r="J41" s="8" t="s">
        <v>58</v>
      </c>
      <c r="K41" s="6"/>
      <c r="L41" s="7">
        <v>45724</v>
      </c>
      <c r="M41" s="6" t="s">
        <v>32</v>
      </c>
      <c r="N41" s="8" t="s">
        <v>94</v>
      </c>
      <c r="O41" s="6">
        <f>HYPERLINK("https://docs.wto.org/imrd/directdoc.asp?DDFDocuments/t/G/TBTN25/BDI538.DOCX", "https://docs.wto.org/imrd/directdoc.asp?DDFDocuments/t/G/TBTN25/BDI538.DOCX")</f>
      </c>
      <c r="P41" s="6">
        <f>HYPERLINK("https://docs.wto.org/imrd/directdoc.asp?DDFDocuments/u/G/TBTN25/BDI538.DOCX", "https://docs.wto.org/imrd/directdoc.asp?DDFDocuments/u/G/TBTN25/BDI538.DOCX")</f>
      </c>
      <c r="Q41" s="6">
        <f>HYPERLINK("https://docs.wto.org/imrd/directdoc.asp?DDFDocuments/v/G/TBTN25/BDI538.DOCX", "https://docs.wto.org/imrd/directdoc.asp?DDFDocuments/v/G/TBTN25/BDI538.DOCX")</f>
      </c>
    </row>
    <row r="42">
      <c r="A42" s="6" t="s">
        <v>49</v>
      </c>
      <c r="B42" s="7">
        <v>45664</v>
      </c>
      <c r="C42" s="9">
        <f>HYPERLINK("https://eping.wto.org/en/Search?viewData= G/TBT/N/BDI/539, G/TBT/N/KEN/1731, G/TBT/N/RWA/1106, G/TBT/N/TZA/1242, G/TBT/N/UGA/2079"," G/TBT/N/BDI/539, G/TBT/N/KEN/1731, G/TBT/N/RWA/1106, G/TBT/N/TZA/1242, G/TBT/N/UGA/2079")</f>
      </c>
      <c r="D42" s="8" t="s">
        <v>54</v>
      </c>
      <c r="E42" s="8" t="s">
        <v>55</v>
      </c>
      <c r="F42" s="8" t="s">
        <v>56</v>
      </c>
      <c r="G42" s="8" t="s">
        <v>22</v>
      </c>
      <c r="H42" s="8" t="s">
        <v>57</v>
      </c>
      <c r="I42" s="8" t="s">
        <v>31</v>
      </c>
      <c r="J42" s="8" t="s">
        <v>58</v>
      </c>
      <c r="K42" s="6"/>
      <c r="L42" s="7">
        <v>45724</v>
      </c>
      <c r="M42" s="6" t="s">
        <v>32</v>
      </c>
      <c r="N42" s="8" t="s">
        <v>59</v>
      </c>
      <c r="O42" s="6">
        <f>HYPERLINK("https://docs.wto.org/imrd/directdoc.asp?DDFDocuments/t/G/TBTN25/BDI539.DOCX", "https://docs.wto.org/imrd/directdoc.asp?DDFDocuments/t/G/TBTN25/BDI539.DOCX")</f>
      </c>
      <c r="P42" s="6">
        <f>HYPERLINK("https://docs.wto.org/imrd/directdoc.asp?DDFDocuments/u/G/TBTN25/BDI539.DOCX", "https://docs.wto.org/imrd/directdoc.asp?DDFDocuments/u/G/TBTN25/BDI539.DOCX")</f>
      </c>
      <c r="Q42" s="6">
        <f>HYPERLINK("https://docs.wto.org/imrd/directdoc.asp?DDFDocuments/v/G/TBTN25/BDI539.DOCX", "https://docs.wto.org/imrd/directdoc.asp?DDFDocuments/v/G/TBTN25/BDI539.DOCX")</f>
      </c>
    </row>
    <row r="43">
      <c r="A43" s="6" t="s">
        <v>82</v>
      </c>
      <c r="B43" s="7">
        <v>45664</v>
      </c>
      <c r="C43" s="9">
        <f>HYPERLINK("https://eping.wto.org/en/Search?viewData= G/SPS/N/BRA/2331/Add.1"," G/SPS/N/BRA/2331/Add.1")</f>
      </c>
      <c r="D43" s="8" t="s">
        <v>210</v>
      </c>
      <c r="E43" s="8" t="s">
        <v>211</v>
      </c>
      <c r="F43" s="8" t="s">
        <v>212</v>
      </c>
      <c r="G43" s="8" t="s">
        <v>22</v>
      </c>
      <c r="H43" s="8" t="s">
        <v>213</v>
      </c>
      <c r="I43" s="8" t="s">
        <v>120</v>
      </c>
      <c r="J43" s="8" t="s">
        <v>214</v>
      </c>
      <c r="K43" s="6"/>
      <c r="L43" s="7">
        <v>45724</v>
      </c>
      <c r="M43" s="6" t="s">
        <v>40</v>
      </c>
      <c r="N43" s="8" t="s">
        <v>215</v>
      </c>
      <c r="O43" s="6">
        <f>HYPERLINK("https://docs.wto.org/imrd/directdoc.asp?DDFDocuments/t/G/SPS/NBRA2331A1.DOCX", "https://docs.wto.org/imrd/directdoc.asp?DDFDocuments/t/G/SPS/NBRA2331A1.DOCX")</f>
      </c>
      <c r="P43" s="6">
        <f>HYPERLINK("https://docs.wto.org/imrd/directdoc.asp?DDFDocuments/u/G/SPS/NBRA2331A1.DOCX", "https://docs.wto.org/imrd/directdoc.asp?DDFDocuments/u/G/SPS/NBRA2331A1.DOCX")</f>
      </c>
      <c r="Q43" s="6">
        <f>HYPERLINK("https://docs.wto.org/imrd/directdoc.asp?DDFDocuments/v/G/SPS/NBRA2331A1.DOCX", "https://docs.wto.org/imrd/directdoc.asp?DDFDocuments/v/G/SPS/NBRA2331A1.DOCX")</f>
      </c>
    </row>
    <row r="44">
      <c r="A44" s="6" t="s">
        <v>60</v>
      </c>
      <c r="B44" s="7">
        <v>45664</v>
      </c>
      <c r="C44" s="9">
        <f>HYPERLINK("https://eping.wto.org/en/Search?viewData= G/TBT/N/BDI/536, G/TBT/N/KEN/1727, G/TBT/N/RWA/1103, G/TBT/N/TZA/1239, G/TBT/N/UGA/2076"," G/TBT/N/BDI/536, G/TBT/N/KEN/1727, G/TBT/N/RWA/1103, G/TBT/N/TZA/1239, G/TBT/N/UGA/2076")</f>
      </c>
      <c r="D44" s="8" t="s">
        <v>191</v>
      </c>
      <c r="E44" s="8" t="s">
        <v>192</v>
      </c>
      <c r="F44" s="8" t="s">
        <v>29</v>
      </c>
      <c r="G44" s="8" t="s">
        <v>22</v>
      </c>
      <c r="H44" s="8" t="s">
        <v>30</v>
      </c>
      <c r="I44" s="8" t="s">
        <v>31</v>
      </c>
      <c r="J44" s="8" t="s">
        <v>22</v>
      </c>
      <c r="K44" s="6"/>
      <c r="L44" s="7">
        <v>45724</v>
      </c>
      <c r="M44" s="6" t="s">
        <v>32</v>
      </c>
      <c r="N44" s="8" t="s">
        <v>193</v>
      </c>
      <c r="O44" s="6">
        <f>HYPERLINK("https://docs.wto.org/imrd/directdoc.asp?DDFDocuments/t/G/TBTN25/BDI536.DOCX", "https://docs.wto.org/imrd/directdoc.asp?DDFDocuments/t/G/TBTN25/BDI536.DOCX")</f>
      </c>
      <c r="P44" s="6">
        <f>HYPERLINK("https://docs.wto.org/imrd/directdoc.asp?DDFDocuments/u/G/TBTN25/BDI536.DOCX", "https://docs.wto.org/imrd/directdoc.asp?DDFDocuments/u/G/TBTN25/BDI536.DOCX")</f>
      </c>
      <c r="Q44" s="6">
        <f>HYPERLINK("https://docs.wto.org/imrd/directdoc.asp?DDFDocuments/v/G/TBTN25/BDI536.DOCX", "https://docs.wto.org/imrd/directdoc.asp?DDFDocuments/v/G/TBTN25/BDI536.DOCX")</f>
      </c>
    </row>
    <row r="45">
      <c r="A45" s="6" t="s">
        <v>53</v>
      </c>
      <c r="B45" s="7">
        <v>45664</v>
      </c>
      <c r="C45" s="9">
        <f>HYPERLINK("https://eping.wto.org/en/Search?viewData= G/TBT/N/KEN/1608/Add.1"," G/TBT/N/KEN/1608/Add.1")</f>
      </c>
      <c r="D45" s="8" t="s">
        <v>216</v>
      </c>
      <c r="E45" s="8" t="s">
        <v>217</v>
      </c>
      <c r="F45" s="8" t="s">
        <v>218</v>
      </c>
      <c r="G45" s="8" t="s">
        <v>22</v>
      </c>
      <c r="H45" s="8" t="s">
        <v>219</v>
      </c>
      <c r="I45" s="8" t="s">
        <v>220</v>
      </c>
      <c r="J45" s="8" t="s">
        <v>22</v>
      </c>
      <c r="K45" s="6"/>
      <c r="L45" s="7" t="s">
        <v>22</v>
      </c>
      <c r="M45" s="6" t="s">
        <v>40</v>
      </c>
      <c r="N45" s="6"/>
      <c r="O45" s="6">
        <f>HYPERLINK("https://docs.wto.org/imrd/directdoc.asp?DDFDocuments/t/G/TBTN24/KEN1608A1.DOCX", "https://docs.wto.org/imrd/directdoc.asp?DDFDocuments/t/G/TBTN24/KEN1608A1.DOCX")</f>
      </c>
      <c r="P45" s="6">
        <f>HYPERLINK("https://docs.wto.org/imrd/directdoc.asp?DDFDocuments/u/G/TBTN24/KEN1608A1.DOCX", "https://docs.wto.org/imrd/directdoc.asp?DDFDocuments/u/G/TBTN24/KEN1608A1.DOCX")</f>
      </c>
      <c r="Q45" s="6">
        <f>HYPERLINK("https://docs.wto.org/imrd/directdoc.asp?DDFDocuments/v/G/TBTN24/KEN1608A1.DOCX", "https://docs.wto.org/imrd/directdoc.asp?DDFDocuments/v/G/TBTN24/KEN1608A1.DOCX")</f>
      </c>
    </row>
    <row r="46">
      <c r="A46" s="6" t="s">
        <v>123</v>
      </c>
      <c r="B46" s="7">
        <v>45664</v>
      </c>
      <c r="C46" s="9">
        <f>HYPERLINK("https://eping.wto.org/en/Search?viewData= G/SPS/N/ECU/356"," G/SPS/N/ECU/356")</f>
      </c>
      <c r="D46" s="8" t="s">
        <v>221</v>
      </c>
      <c r="E46" s="8" t="s">
        <v>222</v>
      </c>
      <c r="F46" s="8" t="s">
        <v>223</v>
      </c>
      <c r="G46" s="8" t="s">
        <v>224</v>
      </c>
      <c r="H46" s="8" t="s">
        <v>22</v>
      </c>
      <c r="I46" s="8" t="s">
        <v>128</v>
      </c>
      <c r="J46" s="8" t="s">
        <v>129</v>
      </c>
      <c r="K46" s="6" t="s">
        <v>130</v>
      </c>
      <c r="L46" s="7">
        <v>45724</v>
      </c>
      <c r="M46" s="6" t="s">
        <v>32</v>
      </c>
      <c r="N46" s="8" t="s">
        <v>225</v>
      </c>
      <c r="O46" s="6">
        <f>HYPERLINK("https://docs.wto.org/imrd/directdoc.asp?DDFDocuments/t/G/SPS/NECU356.DOCX", "https://docs.wto.org/imrd/directdoc.asp?DDFDocuments/t/G/SPS/NECU356.DOCX")</f>
      </c>
      <c r="P46" s="6">
        <f>HYPERLINK("https://docs.wto.org/imrd/directdoc.asp?DDFDocuments/u/G/SPS/NECU356.DOCX", "https://docs.wto.org/imrd/directdoc.asp?DDFDocuments/u/G/SPS/NECU356.DOCX")</f>
      </c>
      <c r="Q46" s="6">
        <f>HYPERLINK("https://docs.wto.org/imrd/directdoc.asp?DDFDocuments/v/G/SPS/NECU356.DOCX", "https://docs.wto.org/imrd/directdoc.asp?DDFDocuments/v/G/SPS/NECU356.DOCX")</f>
      </c>
    </row>
    <row r="47">
      <c r="A47" s="6" t="s">
        <v>68</v>
      </c>
      <c r="B47" s="7">
        <v>45664</v>
      </c>
      <c r="C47" s="9">
        <f>HYPERLINK("https://eping.wto.org/en/Search?viewData= G/TBT/N/BDI/538, G/TBT/N/KEN/1729, G/TBT/N/RWA/1105, G/TBT/N/TZA/1241, G/TBT/N/UGA/2078"," G/TBT/N/BDI/538, G/TBT/N/KEN/1729, G/TBT/N/RWA/1105, G/TBT/N/TZA/1241, G/TBT/N/UGA/2078")</f>
      </c>
      <c r="D47" s="8" t="s">
        <v>90</v>
      </c>
      <c r="E47" s="8" t="s">
        <v>91</v>
      </c>
      <c r="F47" s="8" t="s">
        <v>92</v>
      </c>
      <c r="G47" s="8" t="s">
        <v>22</v>
      </c>
      <c r="H47" s="8" t="s">
        <v>93</v>
      </c>
      <c r="I47" s="8" t="s">
        <v>31</v>
      </c>
      <c r="J47" s="8" t="s">
        <v>58</v>
      </c>
      <c r="K47" s="6"/>
      <c r="L47" s="7">
        <v>45724</v>
      </c>
      <c r="M47" s="6" t="s">
        <v>32</v>
      </c>
      <c r="N47" s="8" t="s">
        <v>94</v>
      </c>
      <c r="O47" s="6">
        <f>HYPERLINK("https://docs.wto.org/imrd/directdoc.asp?DDFDocuments/t/G/TBTN25/BDI538.DOCX", "https://docs.wto.org/imrd/directdoc.asp?DDFDocuments/t/G/TBTN25/BDI538.DOCX")</f>
      </c>
      <c r="P47" s="6">
        <f>HYPERLINK("https://docs.wto.org/imrd/directdoc.asp?DDFDocuments/u/G/TBTN25/BDI538.DOCX", "https://docs.wto.org/imrd/directdoc.asp?DDFDocuments/u/G/TBTN25/BDI538.DOCX")</f>
      </c>
      <c r="Q47" s="6">
        <f>HYPERLINK("https://docs.wto.org/imrd/directdoc.asp?DDFDocuments/v/G/TBTN25/BDI538.DOCX", "https://docs.wto.org/imrd/directdoc.asp?DDFDocuments/v/G/TBTN25/BDI538.DOCX")</f>
      </c>
    </row>
    <row r="48">
      <c r="A48" s="6" t="s">
        <v>226</v>
      </c>
      <c r="B48" s="7">
        <v>45664</v>
      </c>
      <c r="C48" s="9">
        <f>HYPERLINK("https://eping.wto.org/en/Search?viewData= G/TBT/N/ARE/644"," G/TBT/N/ARE/644")</f>
      </c>
      <c r="D48" s="8" t="s">
        <v>227</v>
      </c>
      <c r="E48" s="8" t="s">
        <v>228</v>
      </c>
      <c r="F48" s="8" t="s">
        <v>229</v>
      </c>
      <c r="G48" s="8" t="s">
        <v>22</v>
      </c>
      <c r="H48" s="8" t="s">
        <v>230</v>
      </c>
      <c r="I48" s="8" t="s">
        <v>231</v>
      </c>
      <c r="J48" s="8" t="s">
        <v>22</v>
      </c>
      <c r="K48" s="6"/>
      <c r="L48" s="7">
        <v>45724</v>
      </c>
      <c r="M48" s="6" t="s">
        <v>32</v>
      </c>
      <c r="N48" s="8" t="s">
        <v>232</v>
      </c>
      <c r="O48" s="6">
        <f>HYPERLINK("https://docs.wto.org/imrd/directdoc.asp?DDFDocuments/t/G/TBTN25/ARE644.DOCX", "https://docs.wto.org/imrd/directdoc.asp?DDFDocuments/t/G/TBTN25/ARE644.DOCX")</f>
      </c>
      <c r="P48" s="6">
        <f>HYPERLINK("https://docs.wto.org/imrd/directdoc.asp?DDFDocuments/u/G/TBTN25/ARE644.DOCX", "https://docs.wto.org/imrd/directdoc.asp?DDFDocuments/u/G/TBTN25/ARE644.DOCX")</f>
      </c>
      <c r="Q48" s="6">
        <f>HYPERLINK("https://docs.wto.org/imrd/directdoc.asp?DDFDocuments/v/G/TBTN25/ARE644.DOCX", "https://docs.wto.org/imrd/directdoc.asp?DDFDocuments/v/G/TBTN25/ARE644.DOCX")</f>
      </c>
    </row>
    <row r="49">
      <c r="A49" s="6" t="s">
        <v>159</v>
      </c>
      <c r="B49" s="7">
        <v>45664</v>
      </c>
      <c r="C49" s="9">
        <f>HYPERLINK("https://eping.wto.org/en/Search?viewData= G/TBT/N/ARM/104"," G/TBT/N/ARM/104")</f>
      </c>
      <c r="D49" s="8" t="s">
        <v>233</v>
      </c>
      <c r="E49" s="8" t="s">
        <v>234</v>
      </c>
      <c r="F49" s="8" t="s">
        <v>235</v>
      </c>
      <c r="G49" s="8" t="s">
        <v>22</v>
      </c>
      <c r="H49" s="8" t="s">
        <v>236</v>
      </c>
      <c r="I49" s="8" t="s">
        <v>39</v>
      </c>
      <c r="J49" s="8" t="s">
        <v>139</v>
      </c>
      <c r="K49" s="6"/>
      <c r="L49" s="7">
        <v>45672</v>
      </c>
      <c r="M49" s="6" t="s">
        <v>32</v>
      </c>
      <c r="N49" s="6"/>
      <c r="O49" s="6">
        <f>HYPERLINK("https://docs.wto.org/imrd/directdoc.asp?DDFDocuments/t/G/TBTN25/ARM104.DOCX", "https://docs.wto.org/imrd/directdoc.asp?DDFDocuments/t/G/TBTN25/ARM104.DOCX")</f>
      </c>
      <c r="P49" s="6">
        <f>HYPERLINK("https://docs.wto.org/imrd/directdoc.asp?DDFDocuments/u/G/TBTN25/ARM104.DOCX", "https://docs.wto.org/imrd/directdoc.asp?DDFDocuments/u/G/TBTN25/ARM104.DOCX")</f>
      </c>
      <c r="Q49" s="6">
        <f>HYPERLINK("https://docs.wto.org/imrd/directdoc.asp?DDFDocuments/v/G/TBTN25/ARM104.DOCX", "https://docs.wto.org/imrd/directdoc.asp?DDFDocuments/v/G/TBTN25/ARM104.DOCX")</f>
      </c>
    </row>
    <row r="50">
      <c r="A50" s="6" t="s">
        <v>53</v>
      </c>
      <c r="B50" s="7">
        <v>45664</v>
      </c>
      <c r="C50" s="9">
        <f>HYPERLINK("https://eping.wto.org/en/Search?viewData= G/TBT/N/KEN/1730"," G/TBT/N/KEN/1730")</f>
      </c>
      <c r="D50" s="8" t="s">
        <v>237</v>
      </c>
      <c r="E50" s="8" t="s">
        <v>238</v>
      </c>
      <c r="F50" s="8" t="s">
        <v>239</v>
      </c>
      <c r="G50" s="8" t="s">
        <v>240</v>
      </c>
      <c r="H50" s="8" t="s">
        <v>241</v>
      </c>
      <c r="I50" s="8" t="s">
        <v>242</v>
      </c>
      <c r="J50" s="8" t="s">
        <v>22</v>
      </c>
      <c r="K50" s="6"/>
      <c r="L50" s="7">
        <v>45724</v>
      </c>
      <c r="M50" s="6" t="s">
        <v>32</v>
      </c>
      <c r="N50" s="8" t="s">
        <v>243</v>
      </c>
      <c r="O50" s="6">
        <f>HYPERLINK("https://docs.wto.org/imrd/directdoc.asp?DDFDocuments/t/G/TBTN25/KEN1730.DOCX", "https://docs.wto.org/imrd/directdoc.asp?DDFDocuments/t/G/TBTN25/KEN1730.DOCX")</f>
      </c>
      <c r="P50" s="6"/>
      <c r="Q50" s="6"/>
    </row>
    <row r="51">
      <c r="A51" s="6" t="s">
        <v>53</v>
      </c>
      <c r="B51" s="7">
        <v>45664</v>
      </c>
      <c r="C51" s="9">
        <f>HYPERLINK("https://eping.wto.org/en/Search?viewData= G/TBT/N/BDI/536, G/TBT/N/KEN/1727, G/TBT/N/RWA/1103, G/TBT/N/TZA/1239, G/TBT/N/UGA/2076"," G/TBT/N/BDI/536, G/TBT/N/KEN/1727, G/TBT/N/RWA/1103, G/TBT/N/TZA/1239, G/TBT/N/UGA/2076")</f>
      </c>
      <c r="D51" s="8" t="s">
        <v>191</v>
      </c>
      <c r="E51" s="8" t="s">
        <v>192</v>
      </c>
      <c r="F51" s="8" t="s">
        <v>29</v>
      </c>
      <c r="G51" s="8" t="s">
        <v>22</v>
      </c>
      <c r="H51" s="8" t="s">
        <v>30</v>
      </c>
      <c r="I51" s="8" t="s">
        <v>31</v>
      </c>
      <c r="J51" s="8" t="s">
        <v>22</v>
      </c>
      <c r="K51" s="6"/>
      <c r="L51" s="7">
        <v>45724</v>
      </c>
      <c r="M51" s="6" t="s">
        <v>32</v>
      </c>
      <c r="N51" s="8" t="s">
        <v>193</v>
      </c>
      <c r="O51" s="6">
        <f>HYPERLINK("https://docs.wto.org/imrd/directdoc.asp?DDFDocuments/t/G/TBTN25/BDI536.DOCX", "https://docs.wto.org/imrd/directdoc.asp?DDFDocuments/t/G/TBTN25/BDI536.DOCX")</f>
      </c>
      <c r="P51" s="6">
        <f>HYPERLINK("https://docs.wto.org/imrd/directdoc.asp?DDFDocuments/u/G/TBTN25/BDI536.DOCX", "https://docs.wto.org/imrd/directdoc.asp?DDFDocuments/u/G/TBTN25/BDI536.DOCX")</f>
      </c>
      <c r="Q51" s="6">
        <f>HYPERLINK("https://docs.wto.org/imrd/directdoc.asp?DDFDocuments/v/G/TBTN25/BDI536.DOCX", "https://docs.wto.org/imrd/directdoc.asp?DDFDocuments/v/G/TBTN25/BDI536.DOCX")</f>
      </c>
    </row>
    <row r="52">
      <c r="A52" s="6" t="s">
        <v>68</v>
      </c>
      <c r="B52" s="7">
        <v>45664</v>
      </c>
      <c r="C52" s="9">
        <f>HYPERLINK("https://eping.wto.org/en/Search?viewData= G/TBT/N/BDI/537, G/TBT/N/KEN/1728, G/TBT/N/RWA/1104, G/TBT/N/TZA/1240, G/TBT/N/UGA/2077"," G/TBT/N/BDI/537, G/TBT/N/KEN/1728, G/TBT/N/RWA/1104, G/TBT/N/TZA/1240, G/TBT/N/UGA/2077")</f>
      </c>
      <c r="D52" s="8" t="s">
        <v>95</v>
      </c>
      <c r="E52" s="8" t="s">
        <v>96</v>
      </c>
      <c r="F52" s="8" t="s">
        <v>29</v>
      </c>
      <c r="G52" s="8" t="s">
        <v>22</v>
      </c>
      <c r="H52" s="8" t="s">
        <v>30</v>
      </c>
      <c r="I52" s="8" t="s">
        <v>31</v>
      </c>
      <c r="J52" s="8" t="s">
        <v>22</v>
      </c>
      <c r="K52" s="6"/>
      <c r="L52" s="7">
        <v>45724</v>
      </c>
      <c r="M52" s="6" t="s">
        <v>32</v>
      </c>
      <c r="N52" s="8" t="s">
        <v>97</v>
      </c>
      <c r="O52" s="6">
        <f>HYPERLINK("https://docs.wto.org/imrd/directdoc.asp?DDFDocuments/t/G/TBTN25/BDI537.DOCX", "https://docs.wto.org/imrd/directdoc.asp?DDFDocuments/t/G/TBTN25/BDI537.DOCX")</f>
      </c>
      <c r="P52" s="6">
        <f>HYPERLINK("https://docs.wto.org/imrd/directdoc.asp?DDFDocuments/u/G/TBTN25/BDI537.DOCX", "https://docs.wto.org/imrd/directdoc.asp?DDFDocuments/u/G/TBTN25/BDI537.DOCX")</f>
      </c>
      <c r="Q52" s="6">
        <f>HYPERLINK("https://docs.wto.org/imrd/directdoc.asp?DDFDocuments/v/G/TBTN25/BDI537.DOCX", "https://docs.wto.org/imrd/directdoc.asp?DDFDocuments/v/G/TBTN25/BDI537.DOCX")</f>
      </c>
    </row>
    <row r="53">
      <c r="A53" s="6" t="s">
        <v>82</v>
      </c>
      <c r="B53" s="7">
        <v>45664</v>
      </c>
      <c r="C53" s="9">
        <f>HYPERLINK("https://eping.wto.org/en/Search?viewData= G/TBT/N/BRA/408/Rev.1/Add.4/Corr.5"," G/TBT/N/BRA/408/Rev.1/Add.4/Corr.5")</f>
      </c>
      <c r="D53" s="8" t="s">
        <v>244</v>
      </c>
      <c r="E53" s="8" t="s">
        <v>22</v>
      </c>
      <c r="F53" s="8" t="s">
        <v>245</v>
      </c>
      <c r="G53" s="8" t="s">
        <v>246</v>
      </c>
      <c r="H53" s="8" t="s">
        <v>247</v>
      </c>
      <c r="I53" s="8" t="s">
        <v>183</v>
      </c>
      <c r="J53" s="8" t="s">
        <v>22</v>
      </c>
      <c r="K53" s="6"/>
      <c r="L53" s="7" t="s">
        <v>22</v>
      </c>
      <c r="M53" s="6" t="s">
        <v>248</v>
      </c>
      <c r="N53" s="8" t="s">
        <v>249</v>
      </c>
      <c r="O53" s="6">
        <f>HYPERLINK("https://docs.wto.org/imrd/directdoc.asp?DDFDocuments/t/G/TBTN10/BRA408R1A4C5.DOCX", "https://docs.wto.org/imrd/directdoc.asp?DDFDocuments/t/G/TBTN10/BRA408R1A4C5.DOCX")</f>
      </c>
      <c r="P53" s="6">
        <f>HYPERLINK("https://docs.wto.org/imrd/directdoc.asp?DDFDocuments/u/G/TBTN10/BRA408R1A4C5.DOCX", "https://docs.wto.org/imrd/directdoc.asp?DDFDocuments/u/G/TBTN10/BRA408R1A4C5.DOCX")</f>
      </c>
      <c r="Q53" s="6">
        <f>HYPERLINK("https://docs.wto.org/imrd/directdoc.asp?DDFDocuments/v/G/TBTN10/BRA408R1A4C5.DOCX", "https://docs.wto.org/imrd/directdoc.asp?DDFDocuments/v/G/TBTN10/BRA408R1A4C5.DOCX")</f>
      </c>
    </row>
    <row r="54">
      <c r="A54" s="6" t="s">
        <v>49</v>
      </c>
      <c r="B54" s="7">
        <v>45664</v>
      </c>
      <c r="C54" s="9">
        <f>HYPERLINK("https://eping.wto.org/en/Search?viewData= G/SPS/N/TZA/418"," G/SPS/N/TZA/418")</f>
      </c>
      <c r="D54" s="8" t="s">
        <v>250</v>
      </c>
      <c r="E54" s="8" t="s">
        <v>251</v>
      </c>
      <c r="F54" s="8" t="s">
        <v>252</v>
      </c>
      <c r="G54" s="8" t="s">
        <v>253</v>
      </c>
      <c r="H54" s="8" t="s">
        <v>254</v>
      </c>
      <c r="I54" s="8" t="s">
        <v>120</v>
      </c>
      <c r="J54" s="8" t="s">
        <v>255</v>
      </c>
      <c r="K54" s="6" t="s">
        <v>22</v>
      </c>
      <c r="L54" s="7">
        <v>45724</v>
      </c>
      <c r="M54" s="6" t="s">
        <v>32</v>
      </c>
      <c r="N54" s="8" t="s">
        <v>256</v>
      </c>
      <c r="O54" s="6">
        <f>HYPERLINK("https://docs.wto.org/imrd/directdoc.asp?DDFDocuments/t/G/SPS/NTZA418.DOCX", "https://docs.wto.org/imrd/directdoc.asp?DDFDocuments/t/G/SPS/NTZA418.DOCX")</f>
      </c>
      <c r="P54" s="6">
        <f>HYPERLINK("https://docs.wto.org/imrd/directdoc.asp?DDFDocuments/u/G/SPS/NTZA418.DOCX", "https://docs.wto.org/imrd/directdoc.asp?DDFDocuments/u/G/SPS/NTZA418.DOCX")</f>
      </c>
      <c r="Q54" s="6">
        <f>HYPERLINK("https://docs.wto.org/imrd/directdoc.asp?DDFDocuments/v/G/SPS/NTZA418.DOCX", "https://docs.wto.org/imrd/directdoc.asp?DDFDocuments/v/G/SPS/NTZA418.DOCX")</f>
      </c>
    </row>
    <row r="55">
      <c r="A55" s="6" t="s">
        <v>82</v>
      </c>
      <c r="B55" s="7">
        <v>45664</v>
      </c>
      <c r="C55" s="9">
        <f>HYPERLINK("https://eping.wto.org/en/Search?viewData= G/TBT/N/BRA/907/Add.16"," G/TBT/N/BRA/907/Add.16")</f>
      </c>
      <c r="D55" s="8" t="s">
        <v>257</v>
      </c>
      <c r="E55" s="8" t="s">
        <v>258</v>
      </c>
      <c r="F55" s="8" t="s">
        <v>259</v>
      </c>
      <c r="G55" s="8" t="s">
        <v>22</v>
      </c>
      <c r="H55" s="8" t="s">
        <v>22</v>
      </c>
      <c r="I55" s="8" t="s">
        <v>203</v>
      </c>
      <c r="J55" s="8" t="s">
        <v>22</v>
      </c>
      <c r="K55" s="6"/>
      <c r="L55" s="7" t="s">
        <v>22</v>
      </c>
      <c r="M55" s="6" t="s">
        <v>40</v>
      </c>
      <c r="N55" s="8" t="s">
        <v>260</v>
      </c>
      <c r="O55" s="6">
        <f>HYPERLINK("https://docs.wto.org/imrd/directdoc.asp?DDFDocuments/t/G/TBTN19/BRA907A16.DOCX", "https://docs.wto.org/imrd/directdoc.asp?DDFDocuments/t/G/TBTN19/BRA907A16.DOCX")</f>
      </c>
      <c r="P55" s="6">
        <f>HYPERLINK("https://docs.wto.org/imrd/directdoc.asp?DDFDocuments/u/G/TBTN19/BRA907A16.DOCX", "https://docs.wto.org/imrd/directdoc.asp?DDFDocuments/u/G/TBTN19/BRA907A16.DOCX")</f>
      </c>
      <c r="Q55" s="6">
        <f>HYPERLINK("https://docs.wto.org/imrd/directdoc.asp?DDFDocuments/v/G/TBTN19/BRA907A16.DOCX", "https://docs.wto.org/imrd/directdoc.asp?DDFDocuments/v/G/TBTN19/BRA907A16.DOCX")</f>
      </c>
    </row>
    <row r="56">
      <c r="A56" s="6" t="s">
        <v>123</v>
      </c>
      <c r="B56" s="7">
        <v>45664</v>
      </c>
      <c r="C56" s="9">
        <f>HYPERLINK("https://eping.wto.org/en/Search?viewData= G/TBT/N/ECU/504/Add.4"," G/TBT/N/ECU/504/Add.4")</f>
      </c>
      <c r="D56" s="8" t="s">
        <v>261</v>
      </c>
      <c r="E56" s="8" t="s">
        <v>262</v>
      </c>
      <c r="F56" s="8" t="s">
        <v>263</v>
      </c>
      <c r="G56" s="8" t="s">
        <v>22</v>
      </c>
      <c r="H56" s="8" t="s">
        <v>264</v>
      </c>
      <c r="I56" s="8" t="s">
        <v>265</v>
      </c>
      <c r="J56" s="8" t="s">
        <v>266</v>
      </c>
      <c r="K56" s="6"/>
      <c r="L56" s="7" t="s">
        <v>22</v>
      </c>
      <c r="M56" s="6" t="s">
        <v>40</v>
      </c>
      <c r="N56" s="8" t="s">
        <v>267</v>
      </c>
      <c r="O56" s="6">
        <f>HYPERLINK("https://docs.wto.org/imrd/directdoc.asp?DDFDocuments/t/G/TBTN21/ECU504A4.DOCX", "https://docs.wto.org/imrd/directdoc.asp?DDFDocuments/t/G/TBTN21/ECU504A4.DOCX")</f>
      </c>
      <c r="P56" s="6">
        <f>HYPERLINK("https://docs.wto.org/imrd/directdoc.asp?DDFDocuments/u/G/TBTN21/ECU504A4.DOCX", "https://docs.wto.org/imrd/directdoc.asp?DDFDocuments/u/G/TBTN21/ECU504A4.DOCX")</f>
      </c>
      <c r="Q56" s="6">
        <f>HYPERLINK("https://docs.wto.org/imrd/directdoc.asp?DDFDocuments/v/G/TBTN21/ECU504A4.DOCX", "https://docs.wto.org/imrd/directdoc.asp?DDFDocuments/v/G/TBTN21/ECU504A4.DOCX")</f>
      </c>
    </row>
    <row r="57">
      <c r="A57" s="6" t="s">
        <v>26</v>
      </c>
      <c r="B57" s="7">
        <v>45664</v>
      </c>
      <c r="C57" s="9">
        <f>HYPERLINK("https://eping.wto.org/en/Search?viewData= G/TBT/N/BDI/534, G/TBT/N/KEN/1725, G/TBT/N/RWA/1101, G/TBT/N/TZA/1237, G/TBT/N/UGA/2074"," G/TBT/N/BDI/534, G/TBT/N/KEN/1725, G/TBT/N/RWA/1101, G/TBT/N/TZA/1237, G/TBT/N/UGA/2074")</f>
      </c>
      <c r="D57" s="8" t="s">
        <v>50</v>
      </c>
      <c r="E57" s="8" t="s">
        <v>51</v>
      </c>
      <c r="F57" s="8" t="s">
        <v>29</v>
      </c>
      <c r="G57" s="8" t="s">
        <v>22</v>
      </c>
      <c r="H57" s="8" t="s">
        <v>30</v>
      </c>
      <c r="I57" s="8" t="s">
        <v>31</v>
      </c>
      <c r="J57" s="8" t="s">
        <v>22</v>
      </c>
      <c r="K57" s="6"/>
      <c r="L57" s="7">
        <v>45724</v>
      </c>
      <c r="M57" s="6" t="s">
        <v>32</v>
      </c>
      <c r="N57" s="8" t="s">
        <v>52</v>
      </c>
      <c r="O57" s="6">
        <f>HYPERLINK("https://docs.wto.org/imrd/directdoc.asp?DDFDocuments/t/G/TBTN25/BDI534.DOCX", "https://docs.wto.org/imrd/directdoc.asp?DDFDocuments/t/G/TBTN25/BDI534.DOCX")</f>
      </c>
      <c r="P57" s="6"/>
      <c r="Q57" s="6"/>
    </row>
    <row r="58">
      <c r="A58" s="6" t="s">
        <v>53</v>
      </c>
      <c r="B58" s="7">
        <v>45664</v>
      </c>
      <c r="C58" s="9">
        <f>HYPERLINK("https://eping.wto.org/en/Search?viewData= G/TBT/N/KEN/1603/Add.1"," G/TBT/N/KEN/1603/Add.1")</f>
      </c>
      <c r="D58" s="8" t="s">
        <v>268</v>
      </c>
      <c r="E58" s="8" t="s">
        <v>269</v>
      </c>
      <c r="F58" s="8" t="s">
        <v>270</v>
      </c>
      <c r="G58" s="8" t="s">
        <v>22</v>
      </c>
      <c r="H58" s="8" t="s">
        <v>271</v>
      </c>
      <c r="I58" s="8" t="s">
        <v>272</v>
      </c>
      <c r="J58" s="8" t="s">
        <v>22</v>
      </c>
      <c r="K58" s="6"/>
      <c r="L58" s="7" t="s">
        <v>22</v>
      </c>
      <c r="M58" s="6" t="s">
        <v>40</v>
      </c>
      <c r="N58" s="6"/>
      <c r="O58" s="6">
        <f>HYPERLINK("https://docs.wto.org/imrd/directdoc.asp?DDFDocuments/t/G/TBTN24/KEN1603A1.DOCX", "https://docs.wto.org/imrd/directdoc.asp?DDFDocuments/t/G/TBTN24/KEN1603A1.DOCX")</f>
      </c>
      <c r="P58" s="6">
        <f>HYPERLINK("https://docs.wto.org/imrd/directdoc.asp?DDFDocuments/u/G/TBTN24/KEN1603A1.DOCX", "https://docs.wto.org/imrd/directdoc.asp?DDFDocuments/u/G/TBTN24/KEN1603A1.DOCX")</f>
      </c>
      <c r="Q58" s="6">
        <f>HYPERLINK("https://docs.wto.org/imrd/directdoc.asp?DDFDocuments/v/G/TBTN24/KEN1603A1.DOCX", "https://docs.wto.org/imrd/directdoc.asp?DDFDocuments/v/G/TBTN24/KEN1603A1.DOCX")</f>
      </c>
    </row>
    <row r="59">
      <c r="A59" s="6" t="s">
        <v>68</v>
      </c>
      <c r="B59" s="7">
        <v>45664</v>
      </c>
      <c r="C59" s="9">
        <f>HYPERLINK("https://eping.wto.org/en/Search?viewData= G/TBT/N/BDI/535, G/TBT/N/KEN/1726, G/TBT/N/RWA/1102, G/TBT/N/TZA/1238, G/TBT/N/UGA/2075"," G/TBT/N/BDI/535, G/TBT/N/KEN/1726, G/TBT/N/RWA/1102, G/TBT/N/TZA/1238, G/TBT/N/UGA/2075")</f>
      </c>
      <c r="D59" s="8" t="s">
        <v>27</v>
      </c>
      <c r="E59" s="8" t="s">
        <v>28</v>
      </c>
      <c r="F59" s="8" t="s">
        <v>29</v>
      </c>
      <c r="G59" s="8" t="s">
        <v>22</v>
      </c>
      <c r="H59" s="8" t="s">
        <v>30</v>
      </c>
      <c r="I59" s="8" t="s">
        <v>31</v>
      </c>
      <c r="J59" s="8" t="s">
        <v>22</v>
      </c>
      <c r="K59" s="6"/>
      <c r="L59" s="7">
        <v>45724</v>
      </c>
      <c r="M59" s="6" t="s">
        <v>32</v>
      </c>
      <c r="N59" s="8" t="s">
        <v>33</v>
      </c>
      <c r="O59" s="6">
        <f>HYPERLINK("https://docs.wto.org/imrd/directdoc.asp?DDFDocuments/t/G/TBTN25/BDI535.DOCX", "https://docs.wto.org/imrd/directdoc.asp?DDFDocuments/t/G/TBTN25/BDI535.DOCX")</f>
      </c>
      <c r="P59" s="6">
        <f>HYPERLINK("https://docs.wto.org/imrd/directdoc.asp?DDFDocuments/u/G/TBTN25/BDI535.DOCX", "https://docs.wto.org/imrd/directdoc.asp?DDFDocuments/u/G/TBTN25/BDI535.DOCX")</f>
      </c>
      <c r="Q59" s="6">
        <f>HYPERLINK("https://docs.wto.org/imrd/directdoc.asp?DDFDocuments/v/G/TBTN25/BDI535.DOCX", "https://docs.wto.org/imrd/directdoc.asp?DDFDocuments/v/G/TBTN25/BDI535.DOCX")</f>
      </c>
    </row>
    <row r="60">
      <c r="A60" s="6" t="s">
        <v>82</v>
      </c>
      <c r="B60" s="7">
        <v>45664</v>
      </c>
      <c r="C60" s="9">
        <f>HYPERLINK("https://eping.wto.org/en/Search?viewData= G/TBT/N/BRA/1583"," G/TBT/N/BRA/1583")</f>
      </c>
      <c r="D60" s="8" t="s">
        <v>273</v>
      </c>
      <c r="E60" s="8" t="s">
        <v>274</v>
      </c>
      <c r="F60" s="8" t="s">
        <v>275</v>
      </c>
      <c r="G60" s="8" t="s">
        <v>22</v>
      </c>
      <c r="H60" s="8" t="s">
        <v>276</v>
      </c>
      <c r="I60" s="8" t="s">
        <v>39</v>
      </c>
      <c r="J60" s="8" t="s">
        <v>139</v>
      </c>
      <c r="K60" s="6"/>
      <c r="L60" s="7">
        <v>45723</v>
      </c>
      <c r="M60" s="6" t="s">
        <v>32</v>
      </c>
      <c r="N60" s="8" t="s">
        <v>277</v>
      </c>
      <c r="O60" s="6">
        <f>HYPERLINK("https://docs.wto.org/imrd/directdoc.asp?DDFDocuments/t/G/TBTN25/BRA1583.DOCX", "https://docs.wto.org/imrd/directdoc.asp?DDFDocuments/t/G/TBTN25/BRA1583.DOCX")</f>
      </c>
      <c r="P60" s="6">
        <f>HYPERLINK("https://docs.wto.org/imrd/directdoc.asp?DDFDocuments/u/G/TBTN25/BRA1583.DOCX", "https://docs.wto.org/imrd/directdoc.asp?DDFDocuments/u/G/TBTN25/BRA1583.DOCX")</f>
      </c>
      <c r="Q60" s="6">
        <f>HYPERLINK("https://docs.wto.org/imrd/directdoc.asp?DDFDocuments/v/G/TBTN25/BRA1583.DOCX", "https://docs.wto.org/imrd/directdoc.asp?DDFDocuments/v/G/TBTN25/BRA1583.DOCX")</f>
      </c>
    </row>
    <row r="61">
      <c r="A61" s="6" t="s">
        <v>60</v>
      </c>
      <c r="B61" s="7">
        <v>45664</v>
      </c>
      <c r="C61" s="9">
        <f>HYPERLINK("https://eping.wto.org/en/Search?viewData= G/TBT/N/BDI/539, G/TBT/N/KEN/1731, G/TBT/N/RWA/1106, G/TBT/N/TZA/1242, G/TBT/N/UGA/2079"," G/TBT/N/BDI/539, G/TBT/N/KEN/1731, G/TBT/N/RWA/1106, G/TBT/N/TZA/1242, G/TBT/N/UGA/2079")</f>
      </c>
      <c r="D61" s="8" t="s">
        <v>54</v>
      </c>
      <c r="E61" s="8" t="s">
        <v>55</v>
      </c>
      <c r="F61" s="8" t="s">
        <v>56</v>
      </c>
      <c r="G61" s="8" t="s">
        <v>22</v>
      </c>
      <c r="H61" s="8" t="s">
        <v>57</v>
      </c>
      <c r="I61" s="8" t="s">
        <v>31</v>
      </c>
      <c r="J61" s="8" t="s">
        <v>58</v>
      </c>
      <c r="K61" s="6"/>
      <c r="L61" s="7">
        <v>45724</v>
      </c>
      <c r="M61" s="6" t="s">
        <v>32</v>
      </c>
      <c r="N61" s="8" t="s">
        <v>59</v>
      </c>
      <c r="O61" s="6">
        <f>HYPERLINK("https://docs.wto.org/imrd/directdoc.asp?DDFDocuments/t/G/TBTN25/BDI539.DOCX", "https://docs.wto.org/imrd/directdoc.asp?DDFDocuments/t/G/TBTN25/BDI539.DOCX")</f>
      </c>
      <c r="P61" s="6">
        <f>HYPERLINK("https://docs.wto.org/imrd/directdoc.asp?DDFDocuments/u/G/TBTN25/BDI539.DOCX", "https://docs.wto.org/imrd/directdoc.asp?DDFDocuments/u/G/TBTN25/BDI539.DOCX")</f>
      </c>
      <c r="Q61" s="6">
        <f>HYPERLINK("https://docs.wto.org/imrd/directdoc.asp?DDFDocuments/v/G/TBTN25/BDI539.DOCX", "https://docs.wto.org/imrd/directdoc.asp?DDFDocuments/v/G/TBTN25/BDI539.DOCX")</f>
      </c>
    </row>
    <row r="62">
      <c r="A62" s="6" t="s">
        <v>170</v>
      </c>
      <c r="B62" s="7">
        <v>45664</v>
      </c>
      <c r="C62" s="9">
        <f>HYPERLINK("https://eping.wto.org/en/Search?viewData= G/SPS/N/SAU/534/Add.1"," G/SPS/N/SAU/534/Add.1")</f>
      </c>
      <c r="D62" s="8" t="s">
        <v>278</v>
      </c>
      <c r="E62" s="8" t="s">
        <v>279</v>
      </c>
      <c r="F62" s="8" t="s">
        <v>280</v>
      </c>
      <c r="G62" s="8" t="s">
        <v>281</v>
      </c>
      <c r="H62" s="8" t="s">
        <v>22</v>
      </c>
      <c r="I62" s="8" t="s">
        <v>175</v>
      </c>
      <c r="J62" s="8" t="s">
        <v>282</v>
      </c>
      <c r="K62" s="6"/>
      <c r="L62" s="7" t="s">
        <v>22</v>
      </c>
      <c r="M62" s="6" t="s">
        <v>24</v>
      </c>
      <c r="N62" s="8" t="s">
        <v>283</v>
      </c>
      <c r="O62" s="6">
        <f>HYPERLINK("https://docs.wto.org/imrd/directdoc.asp?DDFDocuments/t/G/SPS/NSAU534A1.DOCX", "https://docs.wto.org/imrd/directdoc.asp?DDFDocuments/t/G/SPS/NSAU534A1.DOCX")</f>
      </c>
      <c r="P62" s="6">
        <f>HYPERLINK("https://docs.wto.org/imrd/directdoc.asp?DDFDocuments/u/G/SPS/NSAU534A1.DOCX", "https://docs.wto.org/imrd/directdoc.asp?DDFDocuments/u/G/SPS/NSAU534A1.DOCX")</f>
      </c>
      <c r="Q62" s="6">
        <f>HYPERLINK("https://docs.wto.org/imrd/directdoc.asp?DDFDocuments/v/G/SPS/NSAU534A1.DOCX", "https://docs.wto.org/imrd/directdoc.asp?DDFDocuments/v/G/SPS/NSAU534A1.DOCX")</f>
      </c>
    </row>
    <row r="63">
      <c r="A63" s="6" t="s">
        <v>53</v>
      </c>
      <c r="B63" s="7">
        <v>45664</v>
      </c>
      <c r="C63" s="9">
        <f>HYPERLINK("https://eping.wto.org/en/Search?viewData= G/TBT/N/KEN/1626/Add.1"," G/TBT/N/KEN/1626/Add.1")</f>
      </c>
      <c r="D63" s="8" t="s">
        <v>284</v>
      </c>
      <c r="E63" s="8" t="s">
        <v>285</v>
      </c>
      <c r="F63" s="8" t="s">
        <v>77</v>
      </c>
      <c r="G63" s="8" t="s">
        <v>78</v>
      </c>
      <c r="H63" s="8" t="s">
        <v>79</v>
      </c>
      <c r="I63" s="8" t="s">
        <v>286</v>
      </c>
      <c r="J63" s="8" t="s">
        <v>81</v>
      </c>
      <c r="K63" s="6"/>
      <c r="L63" s="7" t="s">
        <v>22</v>
      </c>
      <c r="M63" s="6" t="s">
        <v>40</v>
      </c>
      <c r="N63" s="6"/>
      <c r="O63" s="6">
        <f>HYPERLINK("https://docs.wto.org/imrd/directdoc.asp?DDFDocuments/t/G/TBTN24/KEN1626A1.DOCX", "https://docs.wto.org/imrd/directdoc.asp?DDFDocuments/t/G/TBTN24/KEN1626A1.DOCX")</f>
      </c>
      <c r="P63" s="6">
        <f>HYPERLINK("https://docs.wto.org/imrd/directdoc.asp?DDFDocuments/u/G/TBTN24/KEN1626A1.DOCX", "https://docs.wto.org/imrd/directdoc.asp?DDFDocuments/u/G/TBTN24/KEN1626A1.DOCX")</f>
      </c>
      <c r="Q63" s="6">
        <f>HYPERLINK("https://docs.wto.org/imrd/directdoc.asp?DDFDocuments/v/G/TBTN24/KEN1626A1.DOCX", "https://docs.wto.org/imrd/directdoc.asp?DDFDocuments/v/G/TBTN24/KEN1626A1.DOCX")</f>
      </c>
    </row>
    <row r="64">
      <c r="A64" s="6" t="s">
        <v>34</v>
      </c>
      <c r="B64" s="7">
        <v>45664</v>
      </c>
      <c r="C64" s="9">
        <f>HYPERLINK("https://eping.wto.org/en/Search?viewData= G/TBT/N/TPKM/544/Add.1"," G/TBT/N/TPKM/544/Add.1")</f>
      </c>
      <c r="D64" s="8" t="s">
        <v>287</v>
      </c>
      <c r="E64" s="8" t="s">
        <v>288</v>
      </c>
      <c r="F64" s="8" t="s">
        <v>289</v>
      </c>
      <c r="G64" s="8" t="s">
        <v>290</v>
      </c>
      <c r="H64" s="8" t="s">
        <v>291</v>
      </c>
      <c r="I64" s="8" t="s">
        <v>292</v>
      </c>
      <c r="J64" s="8" t="s">
        <v>22</v>
      </c>
      <c r="K64" s="6"/>
      <c r="L64" s="7" t="s">
        <v>22</v>
      </c>
      <c r="M64" s="6" t="s">
        <v>40</v>
      </c>
      <c r="N64" s="8" t="s">
        <v>293</v>
      </c>
      <c r="O64" s="6">
        <f>HYPERLINK("https://docs.wto.org/imrd/directdoc.asp?DDFDocuments/t/G/TBTN24/TPKM544A1.DOCX", "https://docs.wto.org/imrd/directdoc.asp?DDFDocuments/t/G/TBTN24/TPKM544A1.DOCX")</f>
      </c>
      <c r="P64" s="6">
        <f>HYPERLINK("https://docs.wto.org/imrd/directdoc.asp?DDFDocuments/u/G/TBTN24/TPKM544A1.DOCX", "https://docs.wto.org/imrd/directdoc.asp?DDFDocuments/u/G/TBTN24/TPKM544A1.DOCX")</f>
      </c>
      <c r="Q64" s="6">
        <f>HYPERLINK("https://docs.wto.org/imrd/directdoc.asp?DDFDocuments/v/G/TBTN24/TPKM544A1.DOCX", "https://docs.wto.org/imrd/directdoc.asp?DDFDocuments/v/G/TBTN24/TPKM544A1.DOCX")</f>
      </c>
    </row>
    <row r="65">
      <c r="A65" s="6" t="s">
        <v>140</v>
      </c>
      <c r="B65" s="7">
        <v>45664</v>
      </c>
      <c r="C65" s="9">
        <f>HYPERLINK("https://eping.wto.org/en/Search?viewData= G/SPS/N/LKA/45/Add.1"," G/SPS/N/LKA/45/Add.1")</f>
      </c>
      <c r="D65" s="8" t="s">
        <v>294</v>
      </c>
      <c r="E65" s="8" t="s">
        <v>295</v>
      </c>
      <c r="F65" s="8" t="s">
        <v>119</v>
      </c>
      <c r="G65" s="8" t="s">
        <v>296</v>
      </c>
      <c r="H65" s="8" t="s">
        <v>22</v>
      </c>
      <c r="I65" s="8" t="s">
        <v>120</v>
      </c>
      <c r="J65" s="8" t="s">
        <v>297</v>
      </c>
      <c r="K65" s="6"/>
      <c r="L65" s="7" t="s">
        <v>22</v>
      </c>
      <c r="M65" s="6" t="s">
        <v>40</v>
      </c>
      <c r="N65" s="8" t="s">
        <v>298</v>
      </c>
      <c r="O65" s="6">
        <f>HYPERLINK("https://docs.wto.org/imrd/directdoc.asp?DDFDocuments/t/G/SPS/NLKA45A1.DOCX", "https://docs.wto.org/imrd/directdoc.asp?DDFDocuments/t/G/SPS/NLKA45A1.DOCX")</f>
      </c>
      <c r="P65" s="6">
        <f>HYPERLINK("https://docs.wto.org/imrd/directdoc.asp?DDFDocuments/u/G/SPS/NLKA45A1.DOCX", "https://docs.wto.org/imrd/directdoc.asp?DDFDocuments/u/G/SPS/NLKA45A1.DOCX")</f>
      </c>
      <c r="Q65" s="6">
        <f>HYPERLINK("https://docs.wto.org/imrd/directdoc.asp?DDFDocuments/v/G/SPS/NLKA45A1.DOCX", "https://docs.wto.org/imrd/directdoc.asp?DDFDocuments/v/G/SPS/NLKA45A1.DOCX")</f>
      </c>
    </row>
    <row r="66">
      <c r="A66" s="6" t="s">
        <v>49</v>
      </c>
      <c r="B66" s="7">
        <v>45664</v>
      </c>
      <c r="C66" s="9">
        <f>HYPERLINK("https://eping.wto.org/en/Search?viewData= G/TBT/N/BDI/536, G/TBT/N/KEN/1727, G/TBT/N/RWA/1103, G/TBT/N/TZA/1239, G/TBT/N/UGA/2076"," G/TBT/N/BDI/536, G/TBT/N/KEN/1727, G/TBT/N/RWA/1103, G/TBT/N/TZA/1239, G/TBT/N/UGA/2076")</f>
      </c>
      <c r="D66" s="8" t="s">
        <v>191</v>
      </c>
      <c r="E66" s="8" t="s">
        <v>192</v>
      </c>
      <c r="F66" s="8" t="s">
        <v>29</v>
      </c>
      <c r="G66" s="8" t="s">
        <v>22</v>
      </c>
      <c r="H66" s="8" t="s">
        <v>30</v>
      </c>
      <c r="I66" s="8" t="s">
        <v>31</v>
      </c>
      <c r="J66" s="8" t="s">
        <v>22</v>
      </c>
      <c r="K66" s="6"/>
      <c r="L66" s="7">
        <v>45724</v>
      </c>
      <c r="M66" s="6" t="s">
        <v>32</v>
      </c>
      <c r="N66" s="8" t="s">
        <v>193</v>
      </c>
      <c r="O66" s="6">
        <f>HYPERLINK("https://docs.wto.org/imrd/directdoc.asp?DDFDocuments/t/G/TBTN25/BDI536.DOCX", "https://docs.wto.org/imrd/directdoc.asp?DDFDocuments/t/G/TBTN25/BDI536.DOCX")</f>
      </c>
      <c r="P66" s="6">
        <f>HYPERLINK("https://docs.wto.org/imrd/directdoc.asp?DDFDocuments/u/G/TBTN25/BDI536.DOCX", "https://docs.wto.org/imrd/directdoc.asp?DDFDocuments/u/G/TBTN25/BDI536.DOCX")</f>
      </c>
      <c r="Q66" s="6">
        <f>HYPERLINK("https://docs.wto.org/imrd/directdoc.asp?DDFDocuments/v/G/TBTN25/BDI536.DOCX", "https://docs.wto.org/imrd/directdoc.asp?DDFDocuments/v/G/TBTN25/BDI536.DOCX")</f>
      </c>
    </row>
    <row r="67">
      <c r="A67" s="6" t="s">
        <v>49</v>
      </c>
      <c r="B67" s="7">
        <v>45664</v>
      </c>
      <c r="C67" s="9">
        <f>HYPERLINK("https://eping.wto.org/en/Search?viewData= G/TBT/N/BDI/540, G/TBT/N/KEN/1732, G/TBT/N/RWA/1107, G/TBT/N/TZA/1243, G/TBT/N/UGA/2080"," G/TBT/N/BDI/540, G/TBT/N/KEN/1732, G/TBT/N/RWA/1107, G/TBT/N/TZA/1243, G/TBT/N/UGA/2080")</f>
      </c>
      <c r="D67" s="8" t="s">
        <v>61</v>
      </c>
      <c r="E67" s="8" t="s">
        <v>62</v>
      </c>
      <c r="F67" s="8" t="s">
        <v>63</v>
      </c>
      <c r="G67" s="8" t="s">
        <v>64</v>
      </c>
      <c r="H67" s="8" t="s">
        <v>65</v>
      </c>
      <c r="I67" s="8" t="s">
        <v>66</v>
      </c>
      <c r="J67" s="8" t="s">
        <v>22</v>
      </c>
      <c r="K67" s="6"/>
      <c r="L67" s="7">
        <v>45724</v>
      </c>
      <c r="M67" s="6" t="s">
        <v>32</v>
      </c>
      <c r="N67" s="8" t="s">
        <v>67</v>
      </c>
      <c r="O67" s="6">
        <f>HYPERLINK("https://docs.wto.org/imrd/directdoc.asp?DDFDocuments/t/G/TBTN25/BDI540.DOCX", "https://docs.wto.org/imrd/directdoc.asp?DDFDocuments/t/G/TBTN25/BDI540.DOCX")</f>
      </c>
      <c r="P67" s="6">
        <f>HYPERLINK("https://docs.wto.org/imrd/directdoc.asp?DDFDocuments/u/G/TBTN25/BDI540.DOCX", "https://docs.wto.org/imrd/directdoc.asp?DDFDocuments/u/G/TBTN25/BDI540.DOCX")</f>
      </c>
      <c r="Q67" s="6">
        <f>HYPERLINK("https://docs.wto.org/imrd/directdoc.asp?DDFDocuments/v/G/TBTN25/BDI540.DOCX", "https://docs.wto.org/imrd/directdoc.asp?DDFDocuments/v/G/TBTN25/BDI540.DOCX")</f>
      </c>
    </row>
    <row r="68">
      <c r="A68" s="6" t="s">
        <v>299</v>
      </c>
      <c r="B68" s="7">
        <v>45664</v>
      </c>
      <c r="C68" s="9">
        <f>HYPERLINK("https://eping.wto.org/en/Search?viewData= G/TBT/N/NZL/103/Add.3"," G/TBT/N/NZL/103/Add.3")</f>
      </c>
      <c r="D68" s="8" t="s">
        <v>300</v>
      </c>
      <c r="E68" s="8" t="s">
        <v>301</v>
      </c>
      <c r="F68" s="8" t="s">
        <v>302</v>
      </c>
      <c r="G68" s="8" t="s">
        <v>22</v>
      </c>
      <c r="H68" s="8" t="s">
        <v>303</v>
      </c>
      <c r="I68" s="8" t="s">
        <v>304</v>
      </c>
      <c r="J68" s="8" t="s">
        <v>22</v>
      </c>
      <c r="K68" s="6"/>
      <c r="L68" s="7" t="s">
        <v>22</v>
      </c>
      <c r="M68" s="6" t="s">
        <v>40</v>
      </c>
      <c r="N68" s="8" t="s">
        <v>305</v>
      </c>
      <c r="O68" s="6">
        <f>HYPERLINK("https://docs.wto.org/imrd/directdoc.asp?DDFDocuments/t/G/TBTN20/NZL103A3.DOCX", "https://docs.wto.org/imrd/directdoc.asp?DDFDocuments/t/G/TBTN20/NZL103A3.DOCX")</f>
      </c>
      <c r="P68" s="6">
        <f>HYPERLINK("https://docs.wto.org/imrd/directdoc.asp?DDFDocuments/u/G/TBTN20/NZL103A3.DOCX", "https://docs.wto.org/imrd/directdoc.asp?DDFDocuments/u/G/TBTN20/NZL103A3.DOCX")</f>
      </c>
      <c r="Q68" s="6">
        <f>HYPERLINK("https://docs.wto.org/imrd/directdoc.asp?DDFDocuments/v/G/TBTN20/NZL103A3.DOCX", "https://docs.wto.org/imrd/directdoc.asp?DDFDocuments/v/G/TBTN20/NZL103A3.DOCX")</f>
      </c>
    </row>
    <row r="69">
      <c r="A69" s="6" t="s">
        <v>49</v>
      </c>
      <c r="B69" s="7">
        <v>45664</v>
      </c>
      <c r="C69" s="9">
        <f>HYPERLINK("https://eping.wto.org/en/Search?viewData= G/SPS/N/TZA/416"," G/SPS/N/TZA/416")</f>
      </c>
      <c r="D69" s="8" t="s">
        <v>306</v>
      </c>
      <c r="E69" s="8" t="s">
        <v>307</v>
      </c>
      <c r="F69" s="8" t="s">
        <v>308</v>
      </c>
      <c r="G69" s="8" t="s">
        <v>309</v>
      </c>
      <c r="H69" s="8" t="s">
        <v>310</v>
      </c>
      <c r="I69" s="8" t="s">
        <v>120</v>
      </c>
      <c r="J69" s="8" t="s">
        <v>255</v>
      </c>
      <c r="K69" s="6" t="s">
        <v>22</v>
      </c>
      <c r="L69" s="7">
        <v>45724</v>
      </c>
      <c r="M69" s="6" t="s">
        <v>32</v>
      </c>
      <c r="N69" s="8" t="s">
        <v>311</v>
      </c>
      <c r="O69" s="6">
        <f>HYPERLINK("https://docs.wto.org/imrd/directdoc.asp?DDFDocuments/t/G/SPS/NTZA416.DOCX", "https://docs.wto.org/imrd/directdoc.asp?DDFDocuments/t/G/SPS/NTZA416.DOCX")</f>
      </c>
      <c r="P69" s="6">
        <f>HYPERLINK("https://docs.wto.org/imrd/directdoc.asp?DDFDocuments/u/G/SPS/NTZA416.DOCX", "https://docs.wto.org/imrd/directdoc.asp?DDFDocuments/u/G/SPS/NTZA416.DOCX")</f>
      </c>
      <c r="Q69" s="6">
        <f>HYPERLINK("https://docs.wto.org/imrd/directdoc.asp?DDFDocuments/v/G/SPS/NTZA416.DOCX", "https://docs.wto.org/imrd/directdoc.asp?DDFDocuments/v/G/SPS/NTZA416.DOCX")</f>
      </c>
    </row>
    <row r="70">
      <c r="A70" s="6" t="s">
        <v>26</v>
      </c>
      <c r="B70" s="7">
        <v>45664</v>
      </c>
      <c r="C70" s="9">
        <f>HYPERLINK("https://eping.wto.org/en/Search?viewData= G/TBT/N/BDI/537, G/TBT/N/KEN/1728, G/TBT/N/RWA/1104, G/TBT/N/TZA/1240, G/TBT/N/UGA/2077"," G/TBT/N/BDI/537, G/TBT/N/KEN/1728, G/TBT/N/RWA/1104, G/TBT/N/TZA/1240, G/TBT/N/UGA/2077")</f>
      </c>
      <c r="D70" s="8" t="s">
        <v>95</v>
      </c>
      <c r="E70" s="8" t="s">
        <v>96</v>
      </c>
      <c r="F70" s="8" t="s">
        <v>29</v>
      </c>
      <c r="G70" s="8" t="s">
        <v>22</v>
      </c>
      <c r="H70" s="8" t="s">
        <v>30</v>
      </c>
      <c r="I70" s="8" t="s">
        <v>31</v>
      </c>
      <c r="J70" s="8" t="s">
        <v>22</v>
      </c>
      <c r="K70" s="6"/>
      <c r="L70" s="7">
        <v>45724</v>
      </c>
      <c r="M70" s="6" t="s">
        <v>32</v>
      </c>
      <c r="N70" s="8" t="s">
        <v>97</v>
      </c>
      <c r="O70" s="6">
        <f>HYPERLINK("https://docs.wto.org/imrd/directdoc.asp?DDFDocuments/t/G/TBTN25/BDI537.DOCX", "https://docs.wto.org/imrd/directdoc.asp?DDFDocuments/t/G/TBTN25/BDI537.DOCX")</f>
      </c>
      <c r="P70" s="6">
        <f>HYPERLINK("https://docs.wto.org/imrd/directdoc.asp?DDFDocuments/u/G/TBTN25/BDI537.DOCX", "https://docs.wto.org/imrd/directdoc.asp?DDFDocuments/u/G/TBTN25/BDI537.DOCX")</f>
      </c>
      <c r="Q70" s="6">
        <f>HYPERLINK("https://docs.wto.org/imrd/directdoc.asp?DDFDocuments/v/G/TBTN25/BDI537.DOCX", "https://docs.wto.org/imrd/directdoc.asp?DDFDocuments/v/G/TBTN25/BDI537.DOCX")</f>
      </c>
    </row>
    <row r="71">
      <c r="A71" s="6" t="s">
        <v>34</v>
      </c>
      <c r="B71" s="7">
        <v>45664</v>
      </c>
      <c r="C71" s="9">
        <f>HYPERLINK("https://eping.wto.org/en/Search?viewData= G/TBT/N/TPKM/553"," G/TBT/N/TPKM/553")</f>
      </c>
      <c r="D71" s="8" t="s">
        <v>312</v>
      </c>
      <c r="E71" s="8" t="s">
        <v>313</v>
      </c>
      <c r="F71" s="8" t="s">
        <v>314</v>
      </c>
      <c r="G71" s="8" t="s">
        <v>315</v>
      </c>
      <c r="H71" s="8" t="s">
        <v>316</v>
      </c>
      <c r="I71" s="8" t="s">
        <v>39</v>
      </c>
      <c r="J71" s="8" t="s">
        <v>22</v>
      </c>
      <c r="K71" s="6"/>
      <c r="L71" s="7">
        <v>45724</v>
      </c>
      <c r="M71" s="6" t="s">
        <v>32</v>
      </c>
      <c r="N71" s="8" t="s">
        <v>317</v>
      </c>
      <c r="O71" s="6">
        <f>HYPERLINK("https://docs.wto.org/imrd/directdoc.asp?DDFDocuments/t/G/TBTN25/TPKM553.DOCX", "https://docs.wto.org/imrd/directdoc.asp?DDFDocuments/t/G/TBTN25/TPKM553.DOCX")</f>
      </c>
      <c r="P71" s="6">
        <f>HYPERLINK("https://docs.wto.org/imrd/directdoc.asp?DDFDocuments/u/G/TBTN25/TPKM553.DOCX", "https://docs.wto.org/imrd/directdoc.asp?DDFDocuments/u/G/TBTN25/TPKM553.DOCX")</f>
      </c>
      <c r="Q71" s="6">
        <f>HYPERLINK("https://docs.wto.org/imrd/directdoc.asp?DDFDocuments/v/G/TBTN25/TPKM553.DOCX", "https://docs.wto.org/imrd/directdoc.asp?DDFDocuments/v/G/TBTN25/TPKM553.DOCX")</f>
      </c>
    </row>
    <row r="72">
      <c r="A72" s="6" t="s">
        <v>53</v>
      </c>
      <c r="B72" s="7">
        <v>45664</v>
      </c>
      <c r="C72" s="9">
        <f>HYPERLINK("https://eping.wto.org/en/Search?viewData= G/TBT/N/KEN/1639/Add.1"," G/TBT/N/KEN/1639/Add.1")</f>
      </c>
      <c r="D72" s="8" t="s">
        <v>318</v>
      </c>
      <c r="E72" s="8" t="s">
        <v>319</v>
      </c>
      <c r="F72" s="8" t="s">
        <v>320</v>
      </c>
      <c r="G72" s="8" t="s">
        <v>22</v>
      </c>
      <c r="H72" s="8" t="s">
        <v>321</v>
      </c>
      <c r="I72" s="8" t="s">
        <v>220</v>
      </c>
      <c r="J72" s="8" t="s">
        <v>22</v>
      </c>
      <c r="K72" s="6"/>
      <c r="L72" s="7" t="s">
        <v>22</v>
      </c>
      <c r="M72" s="6" t="s">
        <v>40</v>
      </c>
      <c r="N72" s="6"/>
      <c r="O72" s="6">
        <f>HYPERLINK("https://docs.wto.org/imrd/directdoc.asp?DDFDocuments/t/G/TBTN24/KEN1639A1.DOCX", "https://docs.wto.org/imrd/directdoc.asp?DDFDocuments/t/G/TBTN24/KEN1639A1.DOCX")</f>
      </c>
      <c r="P72" s="6">
        <f>HYPERLINK("https://docs.wto.org/imrd/directdoc.asp?DDFDocuments/u/G/TBTN24/KEN1639A1.DOCX", "https://docs.wto.org/imrd/directdoc.asp?DDFDocuments/u/G/TBTN24/KEN1639A1.DOCX")</f>
      </c>
      <c r="Q72" s="6">
        <f>HYPERLINK("https://docs.wto.org/imrd/directdoc.asp?DDFDocuments/v/G/TBTN24/KEN1639A1.DOCX", "https://docs.wto.org/imrd/directdoc.asp?DDFDocuments/v/G/TBTN24/KEN1639A1.DOCX")</f>
      </c>
    </row>
    <row r="73">
      <c r="A73" s="6" t="s">
        <v>53</v>
      </c>
      <c r="B73" s="7">
        <v>45664</v>
      </c>
      <c r="C73" s="9">
        <f>HYPERLINK("https://eping.wto.org/en/Search?viewData= G/TBT/N/BDI/537, G/TBT/N/KEN/1728, G/TBT/N/RWA/1104, G/TBT/N/TZA/1240, G/TBT/N/UGA/2077"," G/TBT/N/BDI/537, G/TBT/N/KEN/1728, G/TBT/N/RWA/1104, G/TBT/N/TZA/1240, G/TBT/N/UGA/2077")</f>
      </c>
      <c r="D73" s="8" t="s">
        <v>95</v>
      </c>
      <c r="E73" s="8" t="s">
        <v>96</v>
      </c>
      <c r="F73" s="8" t="s">
        <v>29</v>
      </c>
      <c r="G73" s="8" t="s">
        <v>22</v>
      </c>
      <c r="H73" s="8" t="s">
        <v>30</v>
      </c>
      <c r="I73" s="8" t="s">
        <v>31</v>
      </c>
      <c r="J73" s="8" t="s">
        <v>22</v>
      </c>
      <c r="K73" s="6"/>
      <c r="L73" s="7">
        <v>45724</v>
      </c>
      <c r="M73" s="6" t="s">
        <v>32</v>
      </c>
      <c r="N73" s="8" t="s">
        <v>97</v>
      </c>
      <c r="O73" s="6">
        <f>HYPERLINK("https://docs.wto.org/imrd/directdoc.asp?DDFDocuments/t/G/TBTN25/BDI537.DOCX", "https://docs.wto.org/imrd/directdoc.asp?DDFDocuments/t/G/TBTN25/BDI537.DOCX")</f>
      </c>
      <c r="P73" s="6">
        <f>HYPERLINK("https://docs.wto.org/imrd/directdoc.asp?DDFDocuments/u/G/TBTN25/BDI537.DOCX", "https://docs.wto.org/imrd/directdoc.asp?DDFDocuments/u/G/TBTN25/BDI537.DOCX")</f>
      </c>
      <c r="Q73" s="6">
        <f>HYPERLINK("https://docs.wto.org/imrd/directdoc.asp?DDFDocuments/v/G/TBTN25/BDI537.DOCX", "https://docs.wto.org/imrd/directdoc.asp?DDFDocuments/v/G/TBTN25/BDI537.DOCX")</f>
      </c>
    </row>
    <row r="74">
      <c r="A74" s="6" t="s">
        <v>49</v>
      </c>
      <c r="B74" s="7">
        <v>45664</v>
      </c>
      <c r="C74" s="9">
        <f>HYPERLINK("https://eping.wto.org/en/Search?viewData= G/SPS/N/TZA/417"," G/SPS/N/TZA/417")</f>
      </c>
      <c r="D74" s="8" t="s">
        <v>322</v>
      </c>
      <c r="E74" s="8" t="s">
        <v>323</v>
      </c>
      <c r="F74" s="8" t="s">
        <v>324</v>
      </c>
      <c r="G74" s="8" t="s">
        <v>253</v>
      </c>
      <c r="H74" s="8" t="s">
        <v>310</v>
      </c>
      <c r="I74" s="8" t="s">
        <v>120</v>
      </c>
      <c r="J74" s="8" t="s">
        <v>255</v>
      </c>
      <c r="K74" s="6" t="s">
        <v>22</v>
      </c>
      <c r="L74" s="7">
        <v>45724</v>
      </c>
      <c r="M74" s="6" t="s">
        <v>32</v>
      </c>
      <c r="N74" s="8" t="s">
        <v>325</v>
      </c>
      <c r="O74" s="6">
        <f>HYPERLINK("https://docs.wto.org/imrd/directdoc.asp?DDFDocuments/t/G/SPS/NTZA417.DOCX", "https://docs.wto.org/imrd/directdoc.asp?DDFDocuments/t/G/SPS/NTZA417.DOCX")</f>
      </c>
      <c r="P74" s="6">
        <f>HYPERLINK("https://docs.wto.org/imrd/directdoc.asp?DDFDocuments/u/G/SPS/NTZA417.DOCX", "https://docs.wto.org/imrd/directdoc.asp?DDFDocuments/u/G/SPS/NTZA417.DOCX")</f>
      </c>
      <c r="Q74" s="6">
        <f>HYPERLINK("https://docs.wto.org/imrd/directdoc.asp?DDFDocuments/v/G/SPS/NTZA417.DOCX", "https://docs.wto.org/imrd/directdoc.asp?DDFDocuments/v/G/SPS/NTZA417.DOCX")</f>
      </c>
    </row>
    <row r="75">
      <c r="A75" s="6" t="s">
        <v>170</v>
      </c>
      <c r="B75" s="7">
        <v>45664</v>
      </c>
      <c r="C75" s="9">
        <f>HYPERLINK("https://eping.wto.org/en/Search?viewData= G/SPS/N/SAU/544"," G/SPS/N/SAU/544")</f>
      </c>
      <c r="D75" s="8" t="s">
        <v>326</v>
      </c>
      <c r="E75" s="8" t="s">
        <v>327</v>
      </c>
      <c r="F75" s="8" t="s">
        <v>173</v>
      </c>
      <c r="G75" s="8" t="s">
        <v>328</v>
      </c>
      <c r="H75" s="8" t="s">
        <v>22</v>
      </c>
      <c r="I75" s="8" t="s">
        <v>175</v>
      </c>
      <c r="J75" s="8" t="s">
        <v>329</v>
      </c>
      <c r="K75" s="6" t="s">
        <v>330</v>
      </c>
      <c r="L75" s="7" t="s">
        <v>22</v>
      </c>
      <c r="M75" s="6" t="s">
        <v>331</v>
      </c>
      <c r="N75" s="8" t="s">
        <v>332</v>
      </c>
      <c r="O75" s="6">
        <f>HYPERLINK("https://docs.wto.org/imrd/directdoc.asp?DDFDocuments/t/G/SPS/NSAU544.DOCX", "https://docs.wto.org/imrd/directdoc.asp?DDFDocuments/t/G/SPS/NSAU544.DOCX")</f>
      </c>
      <c r="P75" s="6">
        <f>HYPERLINK("https://docs.wto.org/imrd/directdoc.asp?DDFDocuments/u/G/SPS/NSAU544.DOCX", "https://docs.wto.org/imrd/directdoc.asp?DDFDocuments/u/G/SPS/NSAU544.DOCX")</f>
      </c>
      <c r="Q75" s="6">
        <f>HYPERLINK("https://docs.wto.org/imrd/directdoc.asp?DDFDocuments/v/G/SPS/NSAU544.DOCX", "https://docs.wto.org/imrd/directdoc.asp?DDFDocuments/v/G/SPS/NSAU544.DOCX")</f>
      </c>
    </row>
    <row r="76">
      <c r="A76" s="6" t="s">
        <v>53</v>
      </c>
      <c r="B76" s="7">
        <v>45664</v>
      </c>
      <c r="C76" s="9">
        <f>HYPERLINK("https://eping.wto.org/en/Search?viewData= G/TBT/N/BDI/540, G/TBT/N/KEN/1732, G/TBT/N/RWA/1107, G/TBT/N/TZA/1243, G/TBT/N/UGA/2080"," G/TBT/N/BDI/540, G/TBT/N/KEN/1732, G/TBT/N/RWA/1107, G/TBT/N/TZA/1243, G/TBT/N/UGA/2080")</f>
      </c>
      <c r="D76" s="8" t="s">
        <v>61</v>
      </c>
      <c r="E76" s="8" t="s">
        <v>62</v>
      </c>
      <c r="F76" s="8" t="s">
        <v>63</v>
      </c>
      <c r="G76" s="8" t="s">
        <v>64</v>
      </c>
      <c r="H76" s="8" t="s">
        <v>65</v>
      </c>
      <c r="I76" s="8" t="s">
        <v>66</v>
      </c>
      <c r="J76" s="8" t="s">
        <v>22</v>
      </c>
      <c r="K76" s="6"/>
      <c r="L76" s="7">
        <v>45724</v>
      </c>
      <c r="M76" s="6" t="s">
        <v>32</v>
      </c>
      <c r="N76" s="8" t="s">
        <v>67</v>
      </c>
      <c r="O76" s="6">
        <f>HYPERLINK("https://docs.wto.org/imrd/directdoc.asp?DDFDocuments/t/G/TBTN25/BDI540.DOCX", "https://docs.wto.org/imrd/directdoc.asp?DDFDocuments/t/G/TBTN25/BDI540.DOCX")</f>
      </c>
      <c r="P76" s="6">
        <f>HYPERLINK("https://docs.wto.org/imrd/directdoc.asp?DDFDocuments/u/G/TBTN25/BDI540.DOCX", "https://docs.wto.org/imrd/directdoc.asp?DDFDocuments/u/G/TBTN25/BDI540.DOCX")</f>
      </c>
      <c r="Q76" s="6">
        <f>HYPERLINK("https://docs.wto.org/imrd/directdoc.asp?DDFDocuments/v/G/TBTN25/BDI540.DOCX", "https://docs.wto.org/imrd/directdoc.asp?DDFDocuments/v/G/TBTN25/BDI540.DOCX")</f>
      </c>
    </row>
    <row r="77">
      <c r="A77" s="6" t="s">
        <v>333</v>
      </c>
      <c r="B77" s="7">
        <v>45664</v>
      </c>
      <c r="C77" s="9">
        <f>HYPERLINK("https://eping.wto.org/en/Search?viewData= G/SPS/N/AUS/612"," G/SPS/N/AUS/612")</f>
      </c>
      <c r="D77" s="8" t="s">
        <v>334</v>
      </c>
      <c r="E77" s="8" t="s">
        <v>335</v>
      </c>
      <c r="F77" s="8" t="s">
        <v>336</v>
      </c>
      <c r="G77" s="8" t="s">
        <v>22</v>
      </c>
      <c r="H77" s="8" t="s">
        <v>22</v>
      </c>
      <c r="I77" s="8" t="s">
        <v>175</v>
      </c>
      <c r="J77" s="8" t="s">
        <v>337</v>
      </c>
      <c r="K77" s="6" t="s">
        <v>22</v>
      </c>
      <c r="L77" s="7">
        <v>45698</v>
      </c>
      <c r="M77" s="6" t="s">
        <v>32</v>
      </c>
      <c r="N77" s="8" t="s">
        <v>338</v>
      </c>
      <c r="O77" s="6">
        <f>HYPERLINK("https://docs.wto.org/imrd/directdoc.asp?DDFDocuments/t/G/SPS/NAUS612.DOCX", "https://docs.wto.org/imrd/directdoc.asp?DDFDocuments/t/G/SPS/NAUS612.DOCX")</f>
      </c>
      <c r="P77" s="6">
        <f>HYPERLINK("https://docs.wto.org/imrd/directdoc.asp?DDFDocuments/u/G/SPS/NAUS612.DOCX", "https://docs.wto.org/imrd/directdoc.asp?DDFDocuments/u/G/SPS/NAUS612.DOCX")</f>
      </c>
      <c r="Q77" s="6">
        <f>HYPERLINK("https://docs.wto.org/imrd/directdoc.asp?DDFDocuments/v/G/SPS/NAUS612.DOCX", "https://docs.wto.org/imrd/directdoc.asp?DDFDocuments/v/G/SPS/NAUS612.DOCX")</f>
      </c>
    </row>
    <row r="78">
      <c r="A78" s="6" t="s">
        <v>82</v>
      </c>
      <c r="B78" s="7">
        <v>45664</v>
      </c>
      <c r="C78" s="9">
        <f>HYPERLINK("https://eping.wto.org/en/Search?viewData= G/SPS/N/BRA/2336/Add.1"," G/SPS/N/BRA/2336/Add.1")</f>
      </c>
      <c r="D78" s="8" t="s">
        <v>339</v>
      </c>
      <c r="E78" s="8" t="s">
        <v>340</v>
      </c>
      <c r="F78" s="8" t="s">
        <v>212</v>
      </c>
      <c r="G78" s="8" t="s">
        <v>22</v>
      </c>
      <c r="H78" s="8" t="s">
        <v>213</v>
      </c>
      <c r="I78" s="8" t="s">
        <v>120</v>
      </c>
      <c r="J78" s="8" t="s">
        <v>341</v>
      </c>
      <c r="K78" s="6"/>
      <c r="L78" s="7">
        <v>45724</v>
      </c>
      <c r="M78" s="6" t="s">
        <v>40</v>
      </c>
      <c r="N78" s="8" t="s">
        <v>342</v>
      </c>
      <c r="O78" s="6">
        <f>HYPERLINK("https://docs.wto.org/imrd/directdoc.asp?DDFDocuments/t/G/SPS/NBRA2336A1.DOCX", "https://docs.wto.org/imrd/directdoc.asp?DDFDocuments/t/G/SPS/NBRA2336A1.DOCX")</f>
      </c>
      <c r="P78" s="6">
        <f>HYPERLINK("https://docs.wto.org/imrd/directdoc.asp?DDFDocuments/u/G/SPS/NBRA2336A1.DOCX", "https://docs.wto.org/imrd/directdoc.asp?DDFDocuments/u/G/SPS/NBRA2336A1.DOCX")</f>
      </c>
      <c r="Q78" s="6">
        <f>HYPERLINK("https://docs.wto.org/imrd/directdoc.asp?DDFDocuments/v/G/SPS/NBRA2336A1.DOCX", "https://docs.wto.org/imrd/directdoc.asp?DDFDocuments/v/G/SPS/NBRA2336A1.DOCX")</f>
      </c>
    </row>
    <row r="79">
      <c r="A79" s="6" t="s">
        <v>343</v>
      </c>
      <c r="B79" s="7">
        <v>45664</v>
      </c>
      <c r="C79" s="9">
        <f>HYPERLINK("https://eping.wto.org/en/Search?viewData= G/SPS/N/THA/780"," G/SPS/N/THA/780")</f>
      </c>
      <c r="D79" s="8" t="s">
        <v>344</v>
      </c>
      <c r="E79" s="8" t="s">
        <v>345</v>
      </c>
      <c r="F79" s="8" t="s">
        <v>346</v>
      </c>
      <c r="G79" s="8" t="s">
        <v>347</v>
      </c>
      <c r="H79" s="8" t="s">
        <v>22</v>
      </c>
      <c r="I79" s="8" t="s">
        <v>348</v>
      </c>
      <c r="J79" s="8" t="s">
        <v>349</v>
      </c>
      <c r="K79" s="6" t="s">
        <v>330</v>
      </c>
      <c r="L79" s="7" t="s">
        <v>22</v>
      </c>
      <c r="M79" s="6" t="s">
        <v>331</v>
      </c>
      <c r="N79" s="6"/>
      <c r="O79" s="6">
        <f>HYPERLINK("https://docs.wto.org/imrd/directdoc.asp?DDFDocuments/t/G/SPS/NTHA780.DOCX", "https://docs.wto.org/imrd/directdoc.asp?DDFDocuments/t/G/SPS/NTHA780.DOCX")</f>
      </c>
      <c r="P79" s="6">
        <f>HYPERLINK("https://docs.wto.org/imrd/directdoc.asp?DDFDocuments/u/G/SPS/NTHA780.DOCX", "https://docs.wto.org/imrd/directdoc.asp?DDFDocuments/u/G/SPS/NTHA780.DOCX")</f>
      </c>
      <c r="Q79" s="6">
        <f>HYPERLINK("https://docs.wto.org/imrd/directdoc.asp?DDFDocuments/v/G/SPS/NTHA780.DOCX", "https://docs.wto.org/imrd/directdoc.asp?DDFDocuments/v/G/SPS/NTHA780.DOCX")</f>
      </c>
    </row>
    <row r="80">
      <c r="A80" s="6" t="s">
        <v>53</v>
      </c>
      <c r="B80" s="7">
        <v>45664</v>
      </c>
      <c r="C80" s="9">
        <f>HYPERLINK("https://eping.wto.org/en/Search?viewData= G/TBT/N/BDI/534, G/TBT/N/KEN/1725, G/TBT/N/RWA/1101, G/TBT/N/TZA/1237, G/TBT/N/UGA/2074"," G/TBT/N/BDI/534, G/TBT/N/KEN/1725, G/TBT/N/RWA/1101, G/TBT/N/TZA/1237, G/TBT/N/UGA/2074")</f>
      </c>
      <c r="D80" s="8" t="s">
        <v>50</v>
      </c>
      <c r="E80" s="8" t="s">
        <v>51</v>
      </c>
      <c r="F80" s="8" t="s">
        <v>29</v>
      </c>
      <c r="G80" s="8" t="s">
        <v>22</v>
      </c>
      <c r="H80" s="8" t="s">
        <v>30</v>
      </c>
      <c r="I80" s="8" t="s">
        <v>31</v>
      </c>
      <c r="J80" s="8" t="s">
        <v>22</v>
      </c>
      <c r="K80" s="6"/>
      <c r="L80" s="7">
        <v>45724</v>
      </c>
      <c r="M80" s="6" t="s">
        <v>32</v>
      </c>
      <c r="N80" s="8" t="s">
        <v>52</v>
      </c>
      <c r="O80" s="6">
        <f>HYPERLINK("https://docs.wto.org/imrd/directdoc.asp?DDFDocuments/t/G/TBTN25/BDI534.DOCX", "https://docs.wto.org/imrd/directdoc.asp?DDFDocuments/t/G/TBTN25/BDI534.DOCX")</f>
      </c>
      <c r="P80" s="6"/>
      <c r="Q80" s="6"/>
    </row>
    <row r="81">
      <c r="A81" s="6" t="s">
        <v>49</v>
      </c>
      <c r="B81" s="7">
        <v>45664</v>
      </c>
      <c r="C81" s="9">
        <f>HYPERLINK("https://eping.wto.org/en/Search?viewData= G/TBT/N/BDI/535, G/TBT/N/KEN/1726, G/TBT/N/RWA/1102, G/TBT/N/TZA/1238, G/TBT/N/UGA/2075"," G/TBT/N/BDI/535, G/TBT/N/KEN/1726, G/TBT/N/RWA/1102, G/TBT/N/TZA/1238, G/TBT/N/UGA/2075")</f>
      </c>
      <c r="D81" s="8" t="s">
        <v>27</v>
      </c>
      <c r="E81" s="8" t="s">
        <v>28</v>
      </c>
      <c r="F81" s="8" t="s">
        <v>29</v>
      </c>
      <c r="G81" s="8" t="s">
        <v>22</v>
      </c>
      <c r="H81" s="8" t="s">
        <v>30</v>
      </c>
      <c r="I81" s="8" t="s">
        <v>31</v>
      </c>
      <c r="J81" s="8" t="s">
        <v>22</v>
      </c>
      <c r="K81" s="6"/>
      <c r="L81" s="7">
        <v>45724</v>
      </c>
      <c r="M81" s="6" t="s">
        <v>32</v>
      </c>
      <c r="N81" s="8" t="s">
        <v>33</v>
      </c>
      <c r="O81" s="6">
        <f>HYPERLINK("https://docs.wto.org/imrd/directdoc.asp?DDFDocuments/t/G/TBTN25/BDI535.DOCX", "https://docs.wto.org/imrd/directdoc.asp?DDFDocuments/t/G/TBTN25/BDI535.DOCX")</f>
      </c>
      <c r="P81" s="6">
        <f>HYPERLINK("https://docs.wto.org/imrd/directdoc.asp?DDFDocuments/u/G/TBTN25/BDI535.DOCX", "https://docs.wto.org/imrd/directdoc.asp?DDFDocuments/u/G/TBTN25/BDI535.DOCX")</f>
      </c>
      <c r="Q81" s="6">
        <f>HYPERLINK("https://docs.wto.org/imrd/directdoc.asp?DDFDocuments/v/G/TBTN25/BDI535.DOCX", "https://docs.wto.org/imrd/directdoc.asp?DDFDocuments/v/G/TBTN25/BDI535.DOCX")</f>
      </c>
    </row>
    <row r="82">
      <c r="A82" s="6" t="s">
        <v>53</v>
      </c>
      <c r="B82" s="7">
        <v>45664</v>
      </c>
      <c r="C82" s="9">
        <f>HYPERLINK("https://eping.wto.org/en/Search?viewData= G/TBT/N/BDI/538, G/TBT/N/KEN/1729, G/TBT/N/RWA/1105, G/TBT/N/TZA/1241, G/TBT/N/UGA/2078"," G/TBT/N/BDI/538, G/TBT/N/KEN/1729, G/TBT/N/RWA/1105, G/TBT/N/TZA/1241, G/TBT/N/UGA/2078")</f>
      </c>
      <c r="D82" s="8" t="s">
        <v>90</v>
      </c>
      <c r="E82" s="8" t="s">
        <v>91</v>
      </c>
      <c r="F82" s="8" t="s">
        <v>92</v>
      </c>
      <c r="G82" s="8" t="s">
        <v>22</v>
      </c>
      <c r="H82" s="8" t="s">
        <v>93</v>
      </c>
      <c r="I82" s="8" t="s">
        <v>31</v>
      </c>
      <c r="J82" s="8" t="s">
        <v>58</v>
      </c>
      <c r="K82" s="6"/>
      <c r="L82" s="7">
        <v>45724</v>
      </c>
      <c r="M82" s="6" t="s">
        <v>32</v>
      </c>
      <c r="N82" s="8" t="s">
        <v>94</v>
      </c>
      <c r="O82" s="6">
        <f>HYPERLINK("https://docs.wto.org/imrd/directdoc.asp?DDFDocuments/t/G/TBTN25/BDI538.DOCX", "https://docs.wto.org/imrd/directdoc.asp?DDFDocuments/t/G/TBTN25/BDI538.DOCX")</f>
      </c>
      <c r="P82" s="6">
        <f>HYPERLINK("https://docs.wto.org/imrd/directdoc.asp?DDFDocuments/u/G/TBTN25/BDI538.DOCX", "https://docs.wto.org/imrd/directdoc.asp?DDFDocuments/u/G/TBTN25/BDI538.DOCX")</f>
      </c>
      <c r="Q82" s="6">
        <f>HYPERLINK("https://docs.wto.org/imrd/directdoc.asp?DDFDocuments/v/G/TBTN25/BDI538.DOCX", "https://docs.wto.org/imrd/directdoc.asp?DDFDocuments/v/G/TBTN25/BDI538.DOCX")</f>
      </c>
    </row>
    <row r="83">
      <c r="A83" s="6" t="s">
        <v>26</v>
      </c>
      <c r="B83" s="7">
        <v>45664</v>
      </c>
      <c r="C83" s="9">
        <f>HYPERLINK("https://eping.wto.org/en/Search?viewData= G/TBT/N/BDI/540, G/TBT/N/KEN/1732, G/TBT/N/RWA/1107, G/TBT/N/TZA/1243, G/TBT/N/UGA/2080"," G/TBT/N/BDI/540, G/TBT/N/KEN/1732, G/TBT/N/RWA/1107, G/TBT/N/TZA/1243, G/TBT/N/UGA/2080")</f>
      </c>
      <c r="D83" s="8" t="s">
        <v>61</v>
      </c>
      <c r="E83" s="8" t="s">
        <v>62</v>
      </c>
      <c r="F83" s="8" t="s">
        <v>63</v>
      </c>
      <c r="G83" s="8" t="s">
        <v>64</v>
      </c>
      <c r="H83" s="8" t="s">
        <v>65</v>
      </c>
      <c r="I83" s="8" t="s">
        <v>66</v>
      </c>
      <c r="J83" s="8" t="s">
        <v>22</v>
      </c>
      <c r="K83" s="6"/>
      <c r="L83" s="7">
        <v>45724</v>
      </c>
      <c r="M83" s="6" t="s">
        <v>32</v>
      </c>
      <c r="N83" s="8" t="s">
        <v>67</v>
      </c>
      <c r="O83" s="6">
        <f>HYPERLINK("https://docs.wto.org/imrd/directdoc.asp?DDFDocuments/t/G/TBTN25/BDI540.DOCX", "https://docs.wto.org/imrd/directdoc.asp?DDFDocuments/t/G/TBTN25/BDI540.DOCX")</f>
      </c>
      <c r="P83" s="6">
        <f>HYPERLINK("https://docs.wto.org/imrd/directdoc.asp?DDFDocuments/u/G/TBTN25/BDI540.DOCX", "https://docs.wto.org/imrd/directdoc.asp?DDFDocuments/u/G/TBTN25/BDI540.DOCX")</f>
      </c>
      <c r="Q83" s="6">
        <f>HYPERLINK("https://docs.wto.org/imrd/directdoc.asp?DDFDocuments/v/G/TBTN25/BDI540.DOCX", "https://docs.wto.org/imrd/directdoc.asp?DDFDocuments/v/G/TBTN25/BDI540.DOCX")</f>
      </c>
    </row>
    <row r="84">
      <c r="A84" s="6" t="s">
        <v>60</v>
      </c>
      <c r="B84" s="7">
        <v>45664</v>
      </c>
      <c r="C84" s="9">
        <f>HYPERLINK("https://eping.wto.org/en/Search?viewData= G/TBT/N/BDI/534, G/TBT/N/KEN/1725, G/TBT/N/RWA/1101, G/TBT/N/TZA/1237, G/TBT/N/UGA/2074"," G/TBT/N/BDI/534, G/TBT/N/KEN/1725, G/TBT/N/RWA/1101, G/TBT/N/TZA/1237, G/TBT/N/UGA/2074")</f>
      </c>
      <c r="D84" s="8" t="s">
        <v>50</v>
      </c>
      <c r="E84" s="8" t="s">
        <v>51</v>
      </c>
      <c r="F84" s="8" t="s">
        <v>29</v>
      </c>
      <c r="G84" s="8" t="s">
        <v>22</v>
      </c>
      <c r="H84" s="8" t="s">
        <v>30</v>
      </c>
      <c r="I84" s="8" t="s">
        <v>31</v>
      </c>
      <c r="J84" s="8" t="s">
        <v>22</v>
      </c>
      <c r="K84" s="6"/>
      <c r="L84" s="7">
        <v>45724</v>
      </c>
      <c r="M84" s="6" t="s">
        <v>32</v>
      </c>
      <c r="N84" s="8" t="s">
        <v>52</v>
      </c>
      <c r="O84" s="6">
        <f>HYPERLINK("https://docs.wto.org/imrd/directdoc.asp?DDFDocuments/t/G/TBTN25/BDI534.DOCX", "https://docs.wto.org/imrd/directdoc.asp?DDFDocuments/t/G/TBTN25/BDI534.DOCX")</f>
      </c>
      <c r="P84" s="6"/>
      <c r="Q84" s="6"/>
    </row>
    <row r="85">
      <c r="A85" s="6" t="s">
        <v>170</v>
      </c>
      <c r="B85" s="7">
        <v>45664</v>
      </c>
      <c r="C85" s="9">
        <f>HYPERLINK("https://eping.wto.org/en/Search?viewData= G/SPS/N/SAU/542/Add.1"," G/SPS/N/SAU/542/Add.1")</f>
      </c>
      <c r="D85" s="8" t="s">
        <v>350</v>
      </c>
      <c r="E85" s="8" t="s">
        <v>351</v>
      </c>
      <c r="F85" s="8" t="s">
        <v>173</v>
      </c>
      <c r="G85" s="8" t="s">
        <v>352</v>
      </c>
      <c r="H85" s="8" t="s">
        <v>22</v>
      </c>
      <c r="I85" s="8" t="s">
        <v>175</v>
      </c>
      <c r="J85" s="8" t="s">
        <v>353</v>
      </c>
      <c r="K85" s="6"/>
      <c r="L85" s="7" t="s">
        <v>22</v>
      </c>
      <c r="M85" s="6" t="s">
        <v>24</v>
      </c>
      <c r="N85" s="8" t="s">
        <v>354</v>
      </c>
      <c r="O85" s="6">
        <f>HYPERLINK("https://docs.wto.org/imrd/directdoc.asp?DDFDocuments/t/G/SPS/NSAU542A1.DOCX", "https://docs.wto.org/imrd/directdoc.asp?DDFDocuments/t/G/SPS/NSAU542A1.DOCX")</f>
      </c>
      <c r="P85" s="6">
        <f>HYPERLINK("https://docs.wto.org/imrd/directdoc.asp?DDFDocuments/u/G/SPS/NSAU542A1.DOCX", "https://docs.wto.org/imrd/directdoc.asp?DDFDocuments/u/G/SPS/NSAU542A1.DOCX")</f>
      </c>
      <c r="Q85" s="6">
        <f>HYPERLINK("https://docs.wto.org/imrd/directdoc.asp?DDFDocuments/v/G/SPS/NSAU542A1.DOCX", "https://docs.wto.org/imrd/directdoc.asp?DDFDocuments/v/G/SPS/NSAU542A1.DOCX")</f>
      </c>
    </row>
    <row r="86">
      <c r="A86" s="6" t="s">
        <v>132</v>
      </c>
      <c r="B86" s="7">
        <v>45663</v>
      </c>
      <c r="C86" s="9">
        <f>HYPERLINK("https://eping.wto.org/en/Search?viewData= G/SPS/N/CAN/1537/Add.1"," G/SPS/N/CAN/1537/Add.1")</f>
      </c>
      <c r="D86" s="8" t="s">
        <v>355</v>
      </c>
      <c r="E86" s="8" t="s">
        <v>356</v>
      </c>
      <c r="F86" s="8" t="s">
        <v>357</v>
      </c>
      <c r="G86" s="8" t="s">
        <v>22</v>
      </c>
      <c r="H86" s="8" t="s">
        <v>358</v>
      </c>
      <c r="I86" s="8" t="s">
        <v>120</v>
      </c>
      <c r="J86" s="8" t="s">
        <v>359</v>
      </c>
      <c r="K86" s="6"/>
      <c r="L86" s="7" t="s">
        <v>22</v>
      </c>
      <c r="M86" s="6" t="s">
        <v>40</v>
      </c>
      <c r="N86" s="6"/>
      <c r="O86" s="6">
        <f>HYPERLINK("https://docs.wto.org/imrd/directdoc.asp?DDFDocuments/t/G/SPS/NCAN1537A1.DOCX", "https://docs.wto.org/imrd/directdoc.asp?DDFDocuments/t/G/SPS/NCAN1537A1.DOCX")</f>
      </c>
      <c r="P86" s="6">
        <f>HYPERLINK("https://docs.wto.org/imrd/directdoc.asp?DDFDocuments/u/G/SPS/NCAN1537A1.DOCX", "https://docs.wto.org/imrd/directdoc.asp?DDFDocuments/u/G/SPS/NCAN1537A1.DOCX")</f>
      </c>
      <c r="Q86" s="6">
        <f>HYPERLINK("https://docs.wto.org/imrd/directdoc.asp?DDFDocuments/v/G/SPS/NCAN1537A1.DOCX", "https://docs.wto.org/imrd/directdoc.asp?DDFDocuments/v/G/SPS/NCAN1537A1.DOCX")</f>
      </c>
    </row>
    <row r="87">
      <c r="A87" s="6" t="s">
        <v>360</v>
      </c>
      <c r="B87" s="7">
        <v>45663</v>
      </c>
      <c r="C87" s="9">
        <f>HYPERLINK("https://eping.wto.org/en/Search?viewData= G/SPS/N/CHL/806/Add.1"," G/SPS/N/CHL/806/Add.1")</f>
      </c>
      <c r="D87" s="8" t="s">
        <v>361</v>
      </c>
      <c r="E87" s="8" t="s">
        <v>361</v>
      </c>
      <c r="F87" s="8" t="s">
        <v>362</v>
      </c>
      <c r="G87" s="8" t="s">
        <v>363</v>
      </c>
      <c r="H87" s="8" t="s">
        <v>22</v>
      </c>
      <c r="I87" s="8" t="s">
        <v>128</v>
      </c>
      <c r="J87" s="8" t="s">
        <v>364</v>
      </c>
      <c r="K87" s="6"/>
      <c r="L87" s="7" t="s">
        <v>22</v>
      </c>
      <c r="M87" s="6" t="s">
        <v>40</v>
      </c>
      <c r="N87" s="8" t="s">
        <v>365</v>
      </c>
      <c r="O87" s="6">
        <f>HYPERLINK("https://docs.wto.org/imrd/directdoc.asp?DDFDocuments/t/G/SPS/NCHL806A1.DOCX", "https://docs.wto.org/imrd/directdoc.asp?DDFDocuments/t/G/SPS/NCHL806A1.DOCX")</f>
      </c>
      <c r="P87" s="6">
        <f>HYPERLINK("https://docs.wto.org/imrd/directdoc.asp?DDFDocuments/u/G/SPS/NCHL806A1.DOCX", "https://docs.wto.org/imrd/directdoc.asp?DDFDocuments/u/G/SPS/NCHL806A1.DOCX")</f>
      </c>
      <c r="Q87" s="6">
        <f>HYPERLINK("https://docs.wto.org/imrd/directdoc.asp?DDFDocuments/v/G/SPS/NCHL806A1.DOCX", "https://docs.wto.org/imrd/directdoc.asp?DDFDocuments/v/G/SPS/NCHL806A1.DOCX")</f>
      </c>
    </row>
    <row r="88">
      <c r="A88" s="6" t="s">
        <v>366</v>
      </c>
      <c r="B88" s="7">
        <v>45663</v>
      </c>
      <c r="C88" s="9">
        <f>HYPERLINK("https://eping.wto.org/en/Search?viewData= G/SPS/N/KAZ/182"," G/SPS/N/KAZ/182")</f>
      </c>
      <c r="D88" s="8" t="s">
        <v>367</v>
      </c>
      <c r="E88" s="8" t="s">
        <v>368</v>
      </c>
      <c r="F88" s="8" t="s">
        <v>369</v>
      </c>
      <c r="G88" s="8" t="s">
        <v>370</v>
      </c>
      <c r="H88" s="8" t="s">
        <v>22</v>
      </c>
      <c r="I88" s="8" t="s">
        <v>371</v>
      </c>
      <c r="J88" s="8" t="s">
        <v>372</v>
      </c>
      <c r="K88" s="6" t="s">
        <v>373</v>
      </c>
      <c r="L88" s="7" t="s">
        <v>22</v>
      </c>
      <c r="M88" s="6" t="s">
        <v>331</v>
      </c>
      <c r="N88" s="6"/>
      <c r="O88" s="6">
        <f>HYPERLINK("https://docs.wto.org/imrd/directdoc.asp?DDFDocuments/t/G/SPS/NKAZ182.DOCX", "https://docs.wto.org/imrd/directdoc.asp?DDFDocuments/t/G/SPS/NKAZ182.DOCX")</f>
      </c>
      <c r="P88" s="6">
        <f>HYPERLINK("https://docs.wto.org/imrd/directdoc.asp?DDFDocuments/u/G/SPS/NKAZ182.DOCX", "https://docs.wto.org/imrd/directdoc.asp?DDFDocuments/u/G/SPS/NKAZ182.DOCX")</f>
      </c>
      <c r="Q88" s="6">
        <f>HYPERLINK("https://docs.wto.org/imrd/directdoc.asp?DDFDocuments/v/G/SPS/NKAZ182.DOCX", "https://docs.wto.org/imrd/directdoc.asp?DDFDocuments/v/G/SPS/NKAZ182.DOCX")</f>
      </c>
    </row>
    <row r="89">
      <c r="A89" s="6" t="s">
        <v>374</v>
      </c>
      <c r="B89" s="7">
        <v>45663</v>
      </c>
      <c r="C89" s="9">
        <f>HYPERLINK("https://eping.wto.org/en/Search?viewData= G/TBT/N/CRI/189/Add.27"," G/TBT/N/CRI/189/Add.27")</f>
      </c>
      <c r="D89" s="8" t="s">
        <v>375</v>
      </c>
      <c r="E89" s="8" t="s">
        <v>376</v>
      </c>
      <c r="F89" s="8" t="s">
        <v>377</v>
      </c>
      <c r="G89" s="8" t="s">
        <v>378</v>
      </c>
      <c r="H89" s="8" t="s">
        <v>379</v>
      </c>
      <c r="I89" s="8" t="s">
        <v>380</v>
      </c>
      <c r="J89" s="8" t="s">
        <v>22</v>
      </c>
      <c r="K89" s="6"/>
      <c r="L89" s="7" t="s">
        <v>22</v>
      </c>
      <c r="M89" s="6" t="s">
        <v>40</v>
      </c>
      <c r="N89" s="6"/>
      <c r="O89" s="6">
        <f>HYPERLINK("https://docs.wto.org/imrd/directdoc.asp?DDFDocuments/t/G/TBTN20/CRI189A27.DOCX", "https://docs.wto.org/imrd/directdoc.asp?DDFDocuments/t/G/TBTN20/CRI189A27.DOCX")</f>
      </c>
      <c r="P89" s="6">
        <f>HYPERLINK("https://docs.wto.org/imrd/directdoc.asp?DDFDocuments/u/G/TBTN20/CRI189A27.DOCX", "https://docs.wto.org/imrd/directdoc.asp?DDFDocuments/u/G/TBTN20/CRI189A27.DOCX")</f>
      </c>
      <c r="Q89" s="6">
        <f>HYPERLINK("https://docs.wto.org/imrd/directdoc.asp?DDFDocuments/v/G/TBTN20/CRI189A27.DOCX", "https://docs.wto.org/imrd/directdoc.asp?DDFDocuments/v/G/TBTN20/CRI189A27.DOCX")</f>
      </c>
    </row>
    <row r="90">
      <c r="A90" s="6" t="s">
        <v>343</v>
      </c>
      <c r="B90" s="7">
        <v>45663</v>
      </c>
      <c r="C90" s="9">
        <f>HYPERLINK("https://eping.wto.org/en/Search?viewData= G/SPS/N/THA/777"," G/SPS/N/THA/777")</f>
      </c>
      <c r="D90" s="8" t="s">
        <v>381</v>
      </c>
      <c r="E90" s="8" t="s">
        <v>382</v>
      </c>
      <c r="F90" s="8" t="s">
        <v>383</v>
      </c>
      <c r="G90" s="8" t="s">
        <v>347</v>
      </c>
      <c r="H90" s="8" t="s">
        <v>22</v>
      </c>
      <c r="I90" s="8" t="s">
        <v>348</v>
      </c>
      <c r="J90" s="8" t="s">
        <v>384</v>
      </c>
      <c r="K90" s="6" t="s">
        <v>385</v>
      </c>
      <c r="L90" s="7" t="s">
        <v>22</v>
      </c>
      <c r="M90" s="6" t="s">
        <v>331</v>
      </c>
      <c r="N90" s="6"/>
      <c r="O90" s="6">
        <f>HYPERLINK("https://docs.wto.org/imrd/directdoc.asp?DDFDocuments/t/G/SPS/NTHA777.DOCX", "https://docs.wto.org/imrd/directdoc.asp?DDFDocuments/t/G/SPS/NTHA777.DOCX")</f>
      </c>
      <c r="P90" s="6">
        <f>HYPERLINK("https://docs.wto.org/imrd/directdoc.asp?DDFDocuments/u/G/SPS/NTHA777.DOCX", "https://docs.wto.org/imrd/directdoc.asp?DDFDocuments/u/G/SPS/NTHA777.DOCX")</f>
      </c>
      <c r="Q90" s="6">
        <f>HYPERLINK("https://docs.wto.org/imrd/directdoc.asp?DDFDocuments/v/G/SPS/NTHA777.DOCX", "https://docs.wto.org/imrd/directdoc.asp?DDFDocuments/v/G/SPS/NTHA777.DOCX")</f>
      </c>
    </row>
    <row r="91">
      <c r="A91" s="6" t="s">
        <v>374</v>
      </c>
      <c r="B91" s="7">
        <v>45663</v>
      </c>
      <c r="C91" s="9">
        <f>HYPERLINK("https://eping.wto.org/en/Search?viewData= G/SPS/N/CRI/292"," G/SPS/N/CRI/292")</f>
      </c>
      <c r="D91" s="8" t="s">
        <v>386</v>
      </c>
      <c r="E91" s="8" t="s">
        <v>387</v>
      </c>
      <c r="F91" s="8" t="s">
        <v>388</v>
      </c>
      <c r="G91" s="8" t="s">
        <v>389</v>
      </c>
      <c r="H91" s="8" t="s">
        <v>22</v>
      </c>
      <c r="I91" s="8" t="s">
        <v>390</v>
      </c>
      <c r="J91" s="8" t="s">
        <v>391</v>
      </c>
      <c r="K91" s="6" t="s">
        <v>152</v>
      </c>
      <c r="L91" s="7">
        <v>45723</v>
      </c>
      <c r="M91" s="6" t="s">
        <v>32</v>
      </c>
      <c r="N91" s="8" t="s">
        <v>392</v>
      </c>
      <c r="O91" s="6">
        <f>HYPERLINK("https://docs.wto.org/imrd/directdoc.asp?DDFDocuments/t/G/SPS/NCRI292.DOCX", "https://docs.wto.org/imrd/directdoc.asp?DDFDocuments/t/G/SPS/NCRI292.DOCX")</f>
      </c>
      <c r="P91" s="6">
        <f>HYPERLINK("https://docs.wto.org/imrd/directdoc.asp?DDFDocuments/u/G/SPS/NCRI292.DOCX", "https://docs.wto.org/imrd/directdoc.asp?DDFDocuments/u/G/SPS/NCRI292.DOCX")</f>
      </c>
      <c r="Q91" s="6">
        <f>HYPERLINK("https://docs.wto.org/imrd/directdoc.asp?DDFDocuments/v/G/SPS/NCRI292.DOCX", "https://docs.wto.org/imrd/directdoc.asp?DDFDocuments/v/G/SPS/NCRI292.DOCX")</f>
      </c>
    </row>
    <row r="92">
      <c r="A92" s="6" t="s">
        <v>374</v>
      </c>
      <c r="B92" s="7">
        <v>45663</v>
      </c>
      <c r="C92" s="9">
        <f>HYPERLINK("https://eping.wto.org/en/Search?viewData= G/SPS/N/CRI/291"," G/SPS/N/CRI/291")</f>
      </c>
      <c r="D92" s="8" t="s">
        <v>393</v>
      </c>
      <c r="E92" s="8" t="s">
        <v>394</v>
      </c>
      <c r="F92" s="8" t="s">
        <v>395</v>
      </c>
      <c r="G92" s="8" t="s">
        <v>396</v>
      </c>
      <c r="H92" s="8" t="s">
        <v>22</v>
      </c>
      <c r="I92" s="8" t="s">
        <v>390</v>
      </c>
      <c r="J92" s="8" t="s">
        <v>397</v>
      </c>
      <c r="K92" s="6" t="s">
        <v>398</v>
      </c>
      <c r="L92" s="7">
        <v>45723</v>
      </c>
      <c r="M92" s="6" t="s">
        <v>32</v>
      </c>
      <c r="N92" s="8" t="s">
        <v>399</v>
      </c>
      <c r="O92" s="6">
        <f>HYPERLINK("https://docs.wto.org/imrd/directdoc.asp?DDFDocuments/t/G/SPS/NCRI291.DOCX", "https://docs.wto.org/imrd/directdoc.asp?DDFDocuments/t/G/SPS/NCRI291.DOCX")</f>
      </c>
      <c r="P92" s="6">
        <f>HYPERLINK("https://docs.wto.org/imrd/directdoc.asp?DDFDocuments/u/G/SPS/NCRI291.DOCX", "https://docs.wto.org/imrd/directdoc.asp?DDFDocuments/u/G/SPS/NCRI291.DOCX")</f>
      </c>
      <c r="Q92" s="6">
        <f>HYPERLINK("https://docs.wto.org/imrd/directdoc.asp?DDFDocuments/v/G/SPS/NCRI291.DOCX", "https://docs.wto.org/imrd/directdoc.asp?DDFDocuments/v/G/SPS/NCRI291.DOCX")</f>
      </c>
    </row>
    <row r="93">
      <c r="A93" s="6" t="s">
        <v>400</v>
      </c>
      <c r="B93" s="7">
        <v>45663</v>
      </c>
      <c r="C93" s="9">
        <f>HYPERLINK("https://eping.wto.org/en/Search?viewData= G/TBT/N/USA/2113/Add.1"," G/TBT/N/USA/2113/Add.1")</f>
      </c>
      <c r="D93" s="8" t="s">
        <v>401</v>
      </c>
      <c r="E93" s="8" t="s">
        <v>402</v>
      </c>
      <c r="F93" s="8" t="s">
        <v>403</v>
      </c>
      <c r="G93" s="8" t="s">
        <v>22</v>
      </c>
      <c r="H93" s="8" t="s">
        <v>404</v>
      </c>
      <c r="I93" s="8" t="s">
        <v>405</v>
      </c>
      <c r="J93" s="8" t="s">
        <v>22</v>
      </c>
      <c r="K93" s="6"/>
      <c r="L93" s="7" t="s">
        <v>22</v>
      </c>
      <c r="M93" s="6" t="s">
        <v>40</v>
      </c>
      <c r="N93" s="8" t="s">
        <v>406</v>
      </c>
      <c r="O93" s="6">
        <f>HYPERLINK("https://docs.wto.org/imrd/directdoc.asp?DDFDocuments/t/G/TBTN24/USA2113A1.DOCX", "https://docs.wto.org/imrd/directdoc.asp?DDFDocuments/t/G/TBTN24/USA2113A1.DOCX")</f>
      </c>
      <c r="P93" s="6">
        <f>HYPERLINK("https://docs.wto.org/imrd/directdoc.asp?DDFDocuments/u/G/TBTN24/USA2113A1.DOCX", "https://docs.wto.org/imrd/directdoc.asp?DDFDocuments/u/G/TBTN24/USA2113A1.DOCX")</f>
      </c>
      <c r="Q93" s="6">
        <f>HYPERLINK("https://docs.wto.org/imrd/directdoc.asp?DDFDocuments/v/G/TBTN24/USA2113A1.DOCX", "https://docs.wto.org/imrd/directdoc.asp?DDFDocuments/v/G/TBTN24/USA2113A1.DOCX")</f>
      </c>
    </row>
    <row r="94">
      <c r="A94" s="6" t="s">
        <v>374</v>
      </c>
      <c r="B94" s="7">
        <v>45663</v>
      </c>
      <c r="C94" s="9">
        <f>HYPERLINK("https://eping.wto.org/en/Search?viewData= G/TBT/N/CRI/193/Add.3"," G/TBT/N/CRI/193/Add.3")</f>
      </c>
      <c r="D94" s="8" t="s">
        <v>407</v>
      </c>
      <c r="E94" s="8" t="s">
        <v>408</v>
      </c>
      <c r="F94" s="8" t="s">
        <v>409</v>
      </c>
      <c r="G94" s="8" t="s">
        <v>22</v>
      </c>
      <c r="H94" s="8" t="s">
        <v>410</v>
      </c>
      <c r="I94" s="8" t="s">
        <v>411</v>
      </c>
      <c r="J94" s="8" t="s">
        <v>22</v>
      </c>
      <c r="K94" s="6"/>
      <c r="L94" s="7" t="s">
        <v>22</v>
      </c>
      <c r="M94" s="6" t="s">
        <v>40</v>
      </c>
      <c r="N94" s="6"/>
      <c r="O94" s="6">
        <f>HYPERLINK("https://docs.wto.org/imrd/directdoc.asp?DDFDocuments/t/G/TBTN21/CRI193A3.DOCX", "https://docs.wto.org/imrd/directdoc.asp?DDFDocuments/t/G/TBTN21/CRI193A3.DOCX")</f>
      </c>
      <c r="P94" s="6">
        <f>HYPERLINK("https://docs.wto.org/imrd/directdoc.asp?DDFDocuments/u/G/TBTN21/CRI193A3.DOCX", "https://docs.wto.org/imrd/directdoc.asp?DDFDocuments/u/G/TBTN21/CRI193A3.DOCX")</f>
      </c>
      <c r="Q94" s="6">
        <f>HYPERLINK("https://docs.wto.org/imrd/directdoc.asp?DDFDocuments/v/G/TBTN21/CRI193A3.DOCX", "https://docs.wto.org/imrd/directdoc.asp?DDFDocuments/v/G/TBTN21/CRI193A3.DOCX")</f>
      </c>
    </row>
    <row r="95">
      <c r="A95" s="6" t="s">
        <v>400</v>
      </c>
      <c r="B95" s="7">
        <v>45663</v>
      </c>
      <c r="C95" s="9">
        <f>HYPERLINK("https://eping.wto.org/en/Search?viewData= G/SPS/N/USA/3500"," G/SPS/N/USA/3500")</f>
      </c>
      <c r="D95" s="8" t="s">
        <v>412</v>
      </c>
      <c r="E95" s="8" t="s">
        <v>413</v>
      </c>
      <c r="F95" s="8" t="s">
        <v>414</v>
      </c>
      <c r="G95" s="8" t="s">
        <v>415</v>
      </c>
      <c r="H95" s="8" t="s">
        <v>57</v>
      </c>
      <c r="I95" s="8" t="s">
        <v>120</v>
      </c>
      <c r="J95" s="8" t="s">
        <v>416</v>
      </c>
      <c r="K95" s="6" t="s">
        <v>22</v>
      </c>
      <c r="L95" s="7" t="s">
        <v>22</v>
      </c>
      <c r="M95" s="6" t="s">
        <v>32</v>
      </c>
      <c r="N95" s="8" t="s">
        <v>417</v>
      </c>
      <c r="O95" s="6">
        <f>HYPERLINK("https://docs.wto.org/imrd/directdoc.asp?DDFDocuments/t/G/SPS/NUSA3500.DOCX", "https://docs.wto.org/imrd/directdoc.asp?DDFDocuments/t/G/SPS/NUSA3500.DOCX")</f>
      </c>
      <c r="P95" s="6">
        <f>HYPERLINK("https://docs.wto.org/imrd/directdoc.asp?DDFDocuments/u/G/SPS/NUSA3500.DOCX", "https://docs.wto.org/imrd/directdoc.asp?DDFDocuments/u/G/SPS/NUSA3500.DOCX")</f>
      </c>
      <c r="Q95" s="6">
        <f>HYPERLINK("https://docs.wto.org/imrd/directdoc.asp?DDFDocuments/v/G/SPS/NUSA3500.DOCX", "https://docs.wto.org/imrd/directdoc.asp?DDFDocuments/v/G/SPS/NUSA3500.DOCX")</f>
      </c>
    </row>
    <row r="96">
      <c r="A96" s="6" t="s">
        <v>418</v>
      </c>
      <c r="B96" s="7">
        <v>45663</v>
      </c>
      <c r="C96" s="9">
        <f>HYPERLINK("https://eping.wto.org/en/Search?viewData= G/TBT/N/EU/1102"," G/TBT/N/EU/1102")</f>
      </c>
      <c r="D96" s="8" t="s">
        <v>419</v>
      </c>
      <c r="E96" s="8" t="s">
        <v>420</v>
      </c>
      <c r="F96" s="8" t="s">
        <v>421</v>
      </c>
      <c r="G96" s="8" t="s">
        <v>22</v>
      </c>
      <c r="H96" s="8" t="s">
        <v>422</v>
      </c>
      <c r="I96" s="8" t="s">
        <v>292</v>
      </c>
      <c r="J96" s="8" t="s">
        <v>22</v>
      </c>
      <c r="K96" s="6"/>
      <c r="L96" s="7">
        <v>45723</v>
      </c>
      <c r="M96" s="6" t="s">
        <v>32</v>
      </c>
      <c r="N96" s="8" t="s">
        <v>423</v>
      </c>
      <c r="O96" s="6">
        <f>HYPERLINK("https://docs.wto.org/imrd/directdoc.asp?DDFDocuments/t/G/TBTN25/EU1102.DOCX", "https://docs.wto.org/imrd/directdoc.asp?DDFDocuments/t/G/TBTN25/EU1102.DOCX")</f>
      </c>
      <c r="P96" s="6">
        <f>HYPERLINK("https://docs.wto.org/imrd/directdoc.asp?DDFDocuments/u/G/TBTN25/EU1102.DOCX", "https://docs.wto.org/imrd/directdoc.asp?DDFDocuments/u/G/TBTN25/EU1102.DOCX")</f>
      </c>
      <c r="Q96" s="6">
        <f>HYPERLINK("https://docs.wto.org/imrd/directdoc.asp?DDFDocuments/v/G/TBTN25/EU1102.DOCX", "https://docs.wto.org/imrd/directdoc.asp?DDFDocuments/v/G/TBTN25/EU1102.DOCX")</f>
      </c>
    </row>
    <row r="97">
      <c r="A97" s="6" t="s">
        <v>400</v>
      </c>
      <c r="B97" s="7">
        <v>45663</v>
      </c>
      <c r="C97" s="9">
        <f>HYPERLINK("https://eping.wto.org/en/Search?viewData= G/TBT/N/USA/2076/Add.1"," G/TBT/N/USA/2076/Add.1")</f>
      </c>
      <c r="D97" s="8" t="s">
        <v>424</v>
      </c>
      <c r="E97" s="8" t="s">
        <v>425</v>
      </c>
      <c r="F97" s="8" t="s">
        <v>426</v>
      </c>
      <c r="G97" s="8" t="s">
        <v>22</v>
      </c>
      <c r="H97" s="8" t="s">
        <v>427</v>
      </c>
      <c r="I97" s="8" t="s">
        <v>428</v>
      </c>
      <c r="J97" s="8" t="s">
        <v>22</v>
      </c>
      <c r="K97" s="6"/>
      <c r="L97" s="7" t="s">
        <v>22</v>
      </c>
      <c r="M97" s="6" t="s">
        <v>40</v>
      </c>
      <c r="N97" s="8" t="s">
        <v>429</v>
      </c>
      <c r="O97" s="6">
        <f>HYPERLINK("https://docs.wto.org/imrd/directdoc.asp?DDFDocuments/t/G/TBTN23/USA2076A1.DOCX", "https://docs.wto.org/imrd/directdoc.asp?DDFDocuments/t/G/TBTN23/USA2076A1.DOCX")</f>
      </c>
      <c r="P97" s="6">
        <f>HYPERLINK("https://docs.wto.org/imrd/directdoc.asp?DDFDocuments/u/G/TBTN23/USA2076A1.DOCX", "https://docs.wto.org/imrd/directdoc.asp?DDFDocuments/u/G/TBTN23/USA2076A1.DOCX")</f>
      </c>
      <c r="Q97" s="6">
        <f>HYPERLINK("https://docs.wto.org/imrd/directdoc.asp?DDFDocuments/v/G/TBTN23/USA2076A1.DOCX", "https://docs.wto.org/imrd/directdoc.asp?DDFDocuments/v/G/TBTN23/USA2076A1.DOCX")</f>
      </c>
    </row>
    <row r="98">
      <c r="A98" s="6" t="s">
        <v>132</v>
      </c>
      <c r="B98" s="7">
        <v>45663</v>
      </c>
      <c r="C98" s="9">
        <f>HYPERLINK("https://eping.wto.org/en/Search?viewData= G/TBT/N/CAN/685/Add.2"," G/TBT/N/CAN/685/Add.2")</f>
      </c>
      <c r="D98" s="8" t="s">
        <v>430</v>
      </c>
      <c r="E98" s="8" t="s">
        <v>431</v>
      </c>
      <c r="F98" s="8" t="s">
        <v>432</v>
      </c>
      <c r="G98" s="8" t="s">
        <v>22</v>
      </c>
      <c r="H98" s="8" t="s">
        <v>433</v>
      </c>
      <c r="I98" s="8" t="s">
        <v>138</v>
      </c>
      <c r="J98" s="8" t="s">
        <v>434</v>
      </c>
      <c r="K98" s="6"/>
      <c r="L98" s="7" t="s">
        <v>22</v>
      </c>
      <c r="M98" s="6" t="s">
        <v>40</v>
      </c>
      <c r="N98" s="8" t="s">
        <v>435</v>
      </c>
      <c r="O98" s="6">
        <f>HYPERLINK("https://docs.wto.org/imrd/directdoc.asp?DDFDocuments/t/G/TBTN22/CAN685A2.DOCX", "https://docs.wto.org/imrd/directdoc.asp?DDFDocuments/t/G/TBTN22/CAN685A2.DOCX")</f>
      </c>
      <c r="P98" s="6">
        <f>HYPERLINK("https://docs.wto.org/imrd/directdoc.asp?DDFDocuments/u/G/TBTN22/CAN685A2.DOCX", "https://docs.wto.org/imrd/directdoc.asp?DDFDocuments/u/G/TBTN22/CAN685A2.DOCX")</f>
      </c>
      <c r="Q98" s="6">
        <f>HYPERLINK("https://docs.wto.org/imrd/directdoc.asp?DDFDocuments/v/G/TBTN22/CAN685A2.DOCX", "https://docs.wto.org/imrd/directdoc.asp?DDFDocuments/v/G/TBTN22/CAN685A2.DOCX")</f>
      </c>
    </row>
    <row r="99">
      <c r="A99" s="6" t="s">
        <v>360</v>
      </c>
      <c r="B99" s="7">
        <v>45663</v>
      </c>
      <c r="C99" s="9">
        <f>HYPERLINK("https://eping.wto.org/en/Search?viewData= G/SPS/N/CHL/815"," G/SPS/N/CHL/815")</f>
      </c>
      <c r="D99" s="8" t="s">
        <v>436</v>
      </c>
      <c r="E99" s="8" t="s">
        <v>437</v>
      </c>
      <c r="F99" s="8" t="s">
        <v>438</v>
      </c>
      <c r="G99" s="8" t="s">
        <v>439</v>
      </c>
      <c r="H99" s="8" t="s">
        <v>22</v>
      </c>
      <c r="I99" s="8" t="s">
        <v>128</v>
      </c>
      <c r="J99" s="8" t="s">
        <v>440</v>
      </c>
      <c r="K99" s="6" t="s">
        <v>400</v>
      </c>
      <c r="L99" s="7">
        <v>45723</v>
      </c>
      <c r="M99" s="6" t="s">
        <v>32</v>
      </c>
      <c r="N99" s="8" t="s">
        <v>441</v>
      </c>
      <c r="O99" s="6">
        <f>HYPERLINK("https://docs.wto.org/imrd/directdoc.asp?DDFDocuments/t/G/SPS/NCHL815.DOCX", "https://docs.wto.org/imrd/directdoc.asp?DDFDocuments/t/G/SPS/NCHL815.DOCX")</f>
      </c>
      <c r="P99" s="6">
        <f>HYPERLINK("https://docs.wto.org/imrd/directdoc.asp?DDFDocuments/u/G/SPS/NCHL815.DOCX", "https://docs.wto.org/imrd/directdoc.asp?DDFDocuments/u/G/SPS/NCHL815.DOCX")</f>
      </c>
      <c r="Q99" s="6">
        <f>HYPERLINK("https://docs.wto.org/imrd/directdoc.asp?DDFDocuments/v/G/SPS/NCHL815.DOCX", "https://docs.wto.org/imrd/directdoc.asp?DDFDocuments/v/G/SPS/NCHL815.DOCX")</f>
      </c>
    </row>
    <row r="100">
      <c r="A100" s="6" t="s">
        <v>366</v>
      </c>
      <c r="B100" s="7">
        <v>45663</v>
      </c>
      <c r="C100" s="9">
        <f>HYPERLINK("https://eping.wto.org/en/Search?viewData= G/SPS/N/KAZ/181"," G/SPS/N/KAZ/181")</f>
      </c>
      <c r="D100" s="8" t="s">
        <v>442</v>
      </c>
      <c r="E100" s="8" t="s">
        <v>443</v>
      </c>
      <c r="F100" s="8" t="s">
        <v>369</v>
      </c>
      <c r="G100" s="8" t="s">
        <v>370</v>
      </c>
      <c r="H100" s="8" t="s">
        <v>22</v>
      </c>
      <c r="I100" s="8" t="s">
        <v>371</v>
      </c>
      <c r="J100" s="8" t="s">
        <v>444</v>
      </c>
      <c r="K100" s="6" t="s">
        <v>445</v>
      </c>
      <c r="L100" s="7" t="s">
        <v>22</v>
      </c>
      <c r="M100" s="6" t="s">
        <v>331</v>
      </c>
      <c r="N100" s="6"/>
      <c r="O100" s="6">
        <f>HYPERLINK("https://docs.wto.org/imrd/directdoc.asp?DDFDocuments/t/G/SPS/NKAZ181.DOCX", "https://docs.wto.org/imrd/directdoc.asp?DDFDocuments/t/G/SPS/NKAZ181.DOCX")</f>
      </c>
      <c r="P100" s="6">
        <f>HYPERLINK("https://docs.wto.org/imrd/directdoc.asp?DDFDocuments/u/G/SPS/NKAZ181.DOCX", "https://docs.wto.org/imrd/directdoc.asp?DDFDocuments/u/G/SPS/NKAZ181.DOCX")</f>
      </c>
      <c r="Q100" s="6">
        <f>HYPERLINK("https://docs.wto.org/imrd/directdoc.asp?DDFDocuments/v/G/SPS/NKAZ181.DOCX", "https://docs.wto.org/imrd/directdoc.asp?DDFDocuments/v/G/SPS/NKAZ181.DOCX")</f>
      </c>
    </row>
    <row r="101">
      <c r="A101" s="6" t="s">
        <v>366</v>
      </c>
      <c r="B101" s="7">
        <v>45663</v>
      </c>
      <c r="C101" s="9">
        <f>HYPERLINK("https://eping.wto.org/en/Search?viewData= G/SPS/N/KAZ/187"," G/SPS/N/KAZ/187")</f>
      </c>
      <c r="D101" s="8" t="s">
        <v>446</v>
      </c>
      <c r="E101" s="8" t="s">
        <v>447</v>
      </c>
      <c r="F101" s="8" t="s">
        <v>369</v>
      </c>
      <c r="G101" s="8" t="s">
        <v>370</v>
      </c>
      <c r="H101" s="8" t="s">
        <v>22</v>
      </c>
      <c r="I101" s="8" t="s">
        <v>371</v>
      </c>
      <c r="J101" s="8" t="s">
        <v>448</v>
      </c>
      <c r="K101" s="6" t="s">
        <v>449</v>
      </c>
      <c r="L101" s="7" t="s">
        <v>22</v>
      </c>
      <c r="M101" s="6" t="s">
        <v>331</v>
      </c>
      <c r="N101" s="6"/>
      <c r="O101" s="6">
        <f>HYPERLINK("https://docs.wto.org/imrd/directdoc.asp?DDFDocuments/t/G/SPS/NKAZ187.DOCX", "https://docs.wto.org/imrd/directdoc.asp?DDFDocuments/t/G/SPS/NKAZ187.DOCX")</f>
      </c>
      <c r="P101" s="6">
        <f>HYPERLINK("https://docs.wto.org/imrd/directdoc.asp?DDFDocuments/u/G/SPS/NKAZ187.DOCX", "https://docs.wto.org/imrd/directdoc.asp?DDFDocuments/u/G/SPS/NKAZ187.DOCX")</f>
      </c>
      <c r="Q101" s="6">
        <f>HYPERLINK("https://docs.wto.org/imrd/directdoc.asp?DDFDocuments/v/G/SPS/NKAZ187.DOCX", "https://docs.wto.org/imrd/directdoc.asp?DDFDocuments/v/G/SPS/NKAZ187.DOCX")</f>
      </c>
    </row>
    <row r="102">
      <c r="A102" s="6" t="s">
        <v>132</v>
      </c>
      <c r="B102" s="7">
        <v>45663</v>
      </c>
      <c r="C102" s="9">
        <f>HYPERLINK("https://eping.wto.org/en/Search?viewData= G/TBT/N/CAN/679/Add.1"," G/TBT/N/CAN/679/Add.1")</f>
      </c>
      <c r="D102" s="8" t="s">
        <v>450</v>
      </c>
      <c r="E102" s="8" t="s">
        <v>451</v>
      </c>
      <c r="F102" s="8" t="s">
        <v>452</v>
      </c>
      <c r="G102" s="8" t="s">
        <v>22</v>
      </c>
      <c r="H102" s="8" t="s">
        <v>453</v>
      </c>
      <c r="I102" s="8" t="s">
        <v>138</v>
      </c>
      <c r="J102" s="8" t="s">
        <v>22</v>
      </c>
      <c r="K102" s="6"/>
      <c r="L102" s="7" t="s">
        <v>22</v>
      </c>
      <c r="M102" s="6" t="s">
        <v>40</v>
      </c>
      <c r="N102" s="8" t="s">
        <v>454</v>
      </c>
      <c r="O102" s="6">
        <f>HYPERLINK("https://docs.wto.org/imrd/directdoc.asp?DDFDocuments/t/G/TBTN22/CAN679A1.DOCX", "https://docs.wto.org/imrd/directdoc.asp?DDFDocuments/t/G/TBTN22/CAN679A1.DOCX")</f>
      </c>
      <c r="P102" s="6">
        <f>HYPERLINK("https://docs.wto.org/imrd/directdoc.asp?DDFDocuments/u/G/TBTN22/CAN679A1.DOCX", "https://docs.wto.org/imrd/directdoc.asp?DDFDocuments/u/G/TBTN22/CAN679A1.DOCX")</f>
      </c>
      <c r="Q102" s="6">
        <f>HYPERLINK("https://docs.wto.org/imrd/directdoc.asp?DDFDocuments/v/G/TBTN22/CAN679A1.DOCX", "https://docs.wto.org/imrd/directdoc.asp?DDFDocuments/v/G/TBTN22/CAN679A1.DOCX")</f>
      </c>
    </row>
    <row r="103">
      <c r="A103" s="6" t="s">
        <v>418</v>
      </c>
      <c r="B103" s="7">
        <v>45663</v>
      </c>
      <c r="C103" s="9">
        <f>HYPERLINK("https://eping.wto.org/en/Search?viewData= G/TBT/N/EU/1104"," G/TBT/N/EU/1104")</f>
      </c>
      <c r="D103" s="8" t="s">
        <v>455</v>
      </c>
      <c r="E103" s="8" t="s">
        <v>456</v>
      </c>
      <c r="F103" s="8" t="s">
        <v>421</v>
      </c>
      <c r="G103" s="8" t="s">
        <v>22</v>
      </c>
      <c r="H103" s="8" t="s">
        <v>422</v>
      </c>
      <c r="I103" s="8" t="s">
        <v>292</v>
      </c>
      <c r="J103" s="8" t="s">
        <v>22</v>
      </c>
      <c r="K103" s="6"/>
      <c r="L103" s="7">
        <v>45723</v>
      </c>
      <c r="M103" s="6" t="s">
        <v>32</v>
      </c>
      <c r="N103" s="8" t="s">
        <v>457</v>
      </c>
      <c r="O103" s="6">
        <f>HYPERLINK("https://docs.wto.org/imrd/directdoc.asp?DDFDocuments/t/G/TBTN25/EU1104.DOCX", "https://docs.wto.org/imrd/directdoc.asp?DDFDocuments/t/G/TBTN25/EU1104.DOCX")</f>
      </c>
      <c r="P103" s="6">
        <f>HYPERLINK("https://docs.wto.org/imrd/directdoc.asp?DDFDocuments/u/G/TBTN25/EU1104.DOCX", "https://docs.wto.org/imrd/directdoc.asp?DDFDocuments/u/G/TBTN25/EU1104.DOCX")</f>
      </c>
      <c r="Q103" s="6">
        <f>HYPERLINK("https://docs.wto.org/imrd/directdoc.asp?DDFDocuments/v/G/TBTN25/EU1104.DOCX", "https://docs.wto.org/imrd/directdoc.asp?DDFDocuments/v/G/TBTN25/EU1104.DOCX")</f>
      </c>
    </row>
    <row r="104">
      <c r="A104" s="6" t="s">
        <v>418</v>
      </c>
      <c r="B104" s="7">
        <v>45663</v>
      </c>
      <c r="C104" s="9">
        <f>HYPERLINK("https://eping.wto.org/en/Search?viewData= G/TBT/N/EU/1103"," G/TBT/N/EU/1103")</f>
      </c>
      <c r="D104" s="8" t="s">
        <v>458</v>
      </c>
      <c r="E104" s="8" t="s">
        <v>459</v>
      </c>
      <c r="F104" s="8" t="s">
        <v>421</v>
      </c>
      <c r="G104" s="8" t="s">
        <v>22</v>
      </c>
      <c r="H104" s="8" t="s">
        <v>422</v>
      </c>
      <c r="I104" s="8" t="s">
        <v>292</v>
      </c>
      <c r="J104" s="8" t="s">
        <v>22</v>
      </c>
      <c r="K104" s="6"/>
      <c r="L104" s="7">
        <v>45723</v>
      </c>
      <c r="M104" s="6" t="s">
        <v>32</v>
      </c>
      <c r="N104" s="8" t="s">
        <v>460</v>
      </c>
      <c r="O104" s="6">
        <f>HYPERLINK("https://docs.wto.org/imrd/directdoc.asp?DDFDocuments/t/G/TBTN25/EU1103.DOCX", "https://docs.wto.org/imrd/directdoc.asp?DDFDocuments/t/G/TBTN25/EU1103.DOCX")</f>
      </c>
      <c r="P104" s="6">
        <f>HYPERLINK("https://docs.wto.org/imrd/directdoc.asp?DDFDocuments/u/G/TBTN25/EU1103.DOCX", "https://docs.wto.org/imrd/directdoc.asp?DDFDocuments/u/G/TBTN25/EU1103.DOCX")</f>
      </c>
      <c r="Q104" s="6">
        <f>HYPERLINK("https://docs.wto.org/imrd/directdoc.asp?DDFDocuments/v/G/TBTN25/EU1103.DOCX", "https://docs.wto.org/imrd/directdoc.asp?DDFDocuments/v/G/TBTN25/EU1103.DOCX")</f>
      </c>
    </row>
    <row r="105">
      <c r="A105" s="6" t="s">
        <v>132</v>
      </c>
      <c r="B105" s="7">
        <v>45663</v>
      </c>
      <c r="C105" s="9">
        <f>HYPERLINK("https://eping.wto.org/en/Search?viewData= G/TBT/N/CAN/708/Add.1"," G/TBT/N/CAN/708/Add.1")</f>
      </c>
      <c r="D105" s="8" t="s">
        <v>355</v>
      </c>
      <c r="E105" s="8" t="s">
        <v>461</v>
      </c>
      <c r="F105" s="8" t="s">
        <v>357</v>
      </c>
      <c r="G105" s="8" t="s">
        <v>22</v>
      </c>
      <c r="H105" s="8" t="s">
        <v>462</v>
      </c>
      <c r="I105" s="8" t="s">
        <v>138</v>
      </c>
      <c r="J105" s="8" t="s">
        <v>81</v>
      </c>
      <c r="K105" s="6"/>
      <c r="L105" s="7" t="s">
        <v>22</v>
      </c>
      <c r="M105" s="6" t="s">
        <v>40</v>
      </c>
      <c r="N105" s="8" t="s">
        <v>463</v>
      </c>
      <c r="O105" s="6">
        <f>HYPERLINK("https://docs.wto.org/imrd/directdoc.asp?DDFDocuments/t/G/TBTN23/CAN708A1.DOCX", "https://docs.wto.org/imrd/directdoc.asp?DDFDocuments/t/G/TBTN23/CAN708A1.DOCX")</f>
      </c>
      <c r="P105" s="6">
        <f>HYPERLINK("https://docs.wto.org/imrd/directdoc.asp?DDFDocuments/u/G/TBTN23/CAN708A1.DOCX", "https://docs.wto.org/imrd/directdoc.asp?DDFDocuments/u/G/TBTN23/CAN708A1.DOCX")</f>
      </c>
      <c r="Q105" s="6">
        <f>HYPERLINK("https://docs.wto.org/imrd/directdoc.asp?DDFDocuments/v/G/TBTN23/CAN708A1.DOCX", "https://docs.wto.org/imrd/directdoc.asp?DDFDocuments/v/G/TBTN23/CAN708A1.DOCX")</f>
      </c>
    </row>
    <row r="106">
      <c r="A106" s="6" t="s">
        <v>366</v>
      </c>
      <c r="B106" s="7">
        <v>45663</v>
      </c>
      <c r="C106" s="9">
        <f>HYPERLINK("https://eping.wto.org/en/Search?viewData= G/SPS/N/KAZ/185"," G/SPS/N/KAZ/185")</f>
      </c>
      <c r="D106" s="8" t="s">
        <v>464</v>
      </c>
      <c r="E106" s="8" t="s">
        <v>465</v>
      </c>
      <c r="F106" s="8" t="s">
        <v>369</v>
      </c>
      <c r="G106" s="8" t="s">
        <v>466</v>
      </c>
      <c r="H106" s="8" t="s">
        <v>22</v>
      </c>
      <c r="I106" s="8" t="s">
        <v>371</v>
      </c>
      <c r="J106" s="8" t="s">
        <v>444</v>
      </c>
      <c r="K106" s="6" t="s">
        <v>467</v>
      </c>
      <c r="L106" s="7" t="s">
        <v>22</v>
      </c>
      <c r="M106" s="6" t="s">
        <v>331</v>
      </c>
      <c r="N106" s="6"/>
      <c r="O106" s="6">
        <f>HYPERLINK("https://docs.wto.org/imrd/directdoc.asp?DDFDocuments/t/G/SPS/NKAZ185.DOCX", "https://docs.wto.org/imrd/directdoc.asp?DDFDocuments/t/G/SPS/NKAZ185.DOCX")</f>
      </c>
      <c r="P106" s="6">
        <f>HYPERLINK("https://docs.wto.org/imrd/directdoc.asp?DDFDocuments/u/G/SPS/NKAZ185.DOCX", "https://docs.wto.org/imrd/directdoc.asp?DDFDocuments/u/G/SPS/NKAZ185.DOCX")</f>
      </c>
      <c r="Q106" s="6">
        <f>HYPERLINK("https://docs.wto.org/imrd/directdoc.asp?DDFDocuments/v/G/SPS/NKAZ185.DOCX", "https://docs.wto.org/imrd/directdoc.asp?DDFDocuments/v/G/SPS/NKAZ185.DOCX")</f>
      </c>
    </row>
    <row r="107">
      <c r="A107" s="6" t="s">
        <v>366</v>
      </c>
      <c r="B107" s="7">
        <v>45663</v>
      </c>
      <c r="C107" s="9">
        <f>HYPERLINK("https://eping.wto.org/en/Search?viewData= G/SPS/N/KAZ/186"," G/SPS/N/KAZ/186")</f>
      </c>
      <c r="D107" s="8" t="s">
        <v>468</v>
      </c>
      <c r="E107" s="8" t="s">
        <v>469</v>
      </c>
      <c r="F107" s="8" t="s">
        <v>470</v>
      </c>
      <c r="G107" s="8" t="s">
        <v>471</v>
      </c>
      <c r="H107" s="8" t="s">
        <v>22</v>
      </c>
      <c r="I107" s="8" t="s">
        <v>371</v>
      </c>
      <c r="J107" s="8" t="s">
        <v>337</v>
      </c>
      <c r="K107" s="6" t="s">
        <v>472</v>
      </c>
      <c r="L107" s="7" t="s">
        <v>22</v>
      </c>
      <c r="M107" s="6" t="s">
        <v>331</v>
      </c>
      <c r="N107" s="6"/>
      <c r="O107" s="6">
        <f>HYPERLINK("https://docs.wto.org/imrd/directdoc.asp?DDFDocuments/t/G/SPS/NKAZ186.DOCX", "https://docs.wto.org/imrd/directdoc.asp?DDFDocuments/t/G/SPS/NKAZ186.DOCX")</f>
      </c>
      <c r="P107" s="6">
        <f>HYPERLINK("https://docs.wto.org/imrd/directdoc.asp?DDFDocuments/u/G/SPS/NKAZ186.DOCX", "https://docs.wto.org/imrd/directdoc.asp?DDFDocuments/u/G/SPS/NKAZ186.DOCX")</f>
      </c>
      <c r="Q107" s="6">
        <f>HYPERLINK("https://docs.wto.org/imrd/directdoc.asp?DDFDocuments/v/G/SPS/NKAZ186.DOCX", "https://docs.wto.org/imrd/directdoc.asp?DDFDocuments/v/G/SPS/NKAZ186.DOCX")</f>
      </c>
    </row>
    <row r="108">
      <c r="A108" s="6" t="s">
        <v>42</v>
      </c>
      <c r="B108" s="7">
        <v>45663</v>
      </c>
      <c r="C108" s="9">
        <f>HYPERLINK("https://eping.wto.org/en/Search?viewData= G/SPS/N/VNM/165"," G/SPS/N/VNM/165")</f>
      </c>
      <c r="D108" s="8" t="s">
        <v>473</v>
      </c>
      <c r="E108" s="8" t="s">
        <v>474</v>
      </c>
      <c r="F108" s="8" t="s">
        <v>475</v>
      </c>
      <c r="G108" s="8" t="s">
        <v>22</v>
      </c>
      <c r="H108" s="8" t="s">
        <v>22</v>
      </c>
      <c r="I108" s="8" t="s">
        <v>120</v>
      </c>
      <c r="J108" s="8" t="s">
        <v>476</v>
      </c>
      <c r="K108" s="6"/>
      <c r="L108" s="7">
        <v>45723</v>
      </c>
      <c r="M108" s="6" t="s">
        <v>32</v>
      </c>
      <c r="N108" s="8" t="s">
        <v>477</v>
      </c>
      <c r="O108" s="6">
        <f>HYPERLINK("https://docs.wto.org/imrd/directdoc.asp?DDFDocuments/t/G/SPS/NVNM165.DOCX", "https://docs.wto.org/imrd/directdoc.asp?DDFDocuments/t/G/SPS/NVNM165.DOCX")</f>
      </c>
      <c r="P108" s="6">
        <f>HYPERLINK("https://docs.wto.org/imrd/directdoc.asp?DDFDocuments/u/G/SPS/NVNM165.DOCX", "https://docs.wto.org/imrd/directdoc.asp?DDFDocuments/u/G/SPS/NVNM165.DOCX")</f>
      </c>
      <c r="Q108" s="6">
        <f>HYPERLINK("https://docs.wto.org/imrd/directdoc.asp?DDFDocuments/v/G/SPS/NVNM165.DOCX", "https://docs.wto.org/imrd/directdoc.asp?DDFDocuments/v/G/SPS/NVNM165.DOCX")</f>
      </c>
    </row>
    <row r="109">
      <c r="A109" s="6" t="s">
        <v>366</v>
      </c>
      <c r="B109" s="7">
        <v>45663</v>
      </c>
      <c r="C109" s="9">
        <f>HYPERLINK("https://eping.wto.org/en/Search?viewData= G/SPS/N/KAZ/183"," G/SPS/N/KAZ/183")</f>
      </c>
      <c r="D109" s="8" t="s">
        <v>478</v>
      </c>
      <c r="E109" s="8" t="s">
        <v>479</v>
      </c>
      <c r="F109" s="8" t="s">
        <v>369</v>
      </c>
      <c r="G109" s="8" t="s">
        <v>370</v>
      </c>
      <c r="H109" s="8" t="s">
        <v>22</v>
      </c>
      <c r="I109" s="8" t="s">
        <v>371</v>
      </c>
      <c r="J109" s="8" t="s">
        <v>444</v>
      </c>
      <c r="K109" s="6" t="s">
        <v>480</v>
      </c>
      <c r="L109" s="7" t="s">
        <v>22</v>
      </c>
      <c r="M109" s="6" t="s">
        <v>331</v>
      </c>
      <c r="N109" s="6"/>
      <c r="O109" s="6">
        <f>HYPERLINK("https://docs.wto.org/imrd/directdoc.asp?DDFDocuments/t/G/SPS/NKAZ183.DOCX", "https://docs.wto.org/imrd/directdoc.asp?DDFDocuments/t/G/SPS/NKAZ183.DOCX")</f>
      </c>
      <c r="P109" s="6">
        <f>HYPERLINK("https://docs.wto.org/imrd/directdoc.asp?DDFDocuments/u/G/SPS/NKAZ183.DOCX", "https://docs.wto.org/imrd/directdoc.asp?DDFDocuments/u/G/SPS/NKAZ183.DOCX")</f>
      </c>
      <c r="Q109" s="6">
        <f>HYPERLINK("https://docs.wto.org/imrd/directdoc.asp?DDFDocuments/v/G/SPS/NKAZ183.DOCX", "https://docs.wto.org/imrd/directdoc.asp?DDFDocuments/v/G/SPS/NKAZ183.DOCX")</f>
      </c>
    </row>
    <row r="110">
      <c r="A110" s="6" t="s">
        <v>343</v>
      </c>
      <c r="B110" s="7">
        <v>45663</v>
      </c>
      <c r="C110" s="9">
        <f>HYPERLINK("https://eping.wto.org/en/Search?viewData= G/SPS/N/THA/779"," G/SPS/N/THA/779")</f>
      </c>
      <c r="D110" s="8" t="s">
        <v>481</v>
      </c>
      <c r="E110" s="8" t="s">
        <v>482</v>
      </c>
      <c r="F110" s="8" t="s">
        <v>383</v>
      </c>
      <c r="G110" s="8" t="s">
        <v>347</v>
      </c>
      <c r="H110" s="8" t="s">
        <v>22</v>
      </c>
      <c r="I110" s="8" t="s">
        <v>348</v>
      </c>
      <c r="J110" s="8" t="s">
        <v>483</v>
      </c>
      <c r="K110" s="6" t="s">
        <v>299</v>
      </c>
      <c r="L110" s="7" t="s">
        <v>22</v>
      </c>
      <c r="M110" s="6" t="s">
        <v>331</v>
      </c>
      <c r="N110" s="6"/>
      <c r="O110" s="6">
        <f>HYPERLINK("https://docs.wto.org/imrd/directdoc.asp?DDFDocuments/t/G/SPS/NTHA779.DOCX", "https://docs.wto.org/imrd/directdoc.asp?DDFDocuments/t/G/SPS/NTHA779.DOCX")</f>
      </c>
      <c r="P110" s="6">
        <f>HYPERLINK("https://docs.wto.org/imrd/directdoc.asp?DDFDocuments/u/G/SPS/NTHA779.DOCX", "https://docs.wto.org/imrd/directdoc.asp?DDFDocuments/u/G/SPS/NTHA779.DOCX")</f>
      </c>
      <c r="Q110" s="6">
        <f>HYPERLINK("https://docs.wto.org/imrd/directdoc.asp?DDFDocuments/v/G/SPS/NTHA779.DOCX", "https://docs.wto.org/imrd/directdoc.asp?DDFDocuments/v/G/SPS/NTHA779.DOCX")</f>
      </c>
    </row>
    <row r="111">
      <c r="A111" s="6" t="s">
        <v>366</v>
      </c>
      <c r="B111" s="7">
        <v>45663</v>
      </c>
      <c r="C111" s="9">
        <f>HYPERLINK("https://eping.wto.org/en/Search?viewData= G/SPS/N/KAZ/184"," G/SPS/N/KAZ/184")</f>
      </c>
      <c r="D111" s="8" t="s">
        <v>484</v>
      </c>
      <c r="E111" s="8" t="s">
        <v>485</v>
      </c>
      <c r="F111" s="8" t="s">
        <v>369</v>
      </c>
      <c r="G111" s="8" t="s">
        <v>370</v>
      </c>
      <c r="H111" s="8" t="s">
        <v>22</v>
      </c>
      <c r="I111" s="8" t="s">
        <v>371</v>
      </c>
      <c r="J111" s="8" t="s">
        <v>486</v>
      </c>
      <c r="K111" s="6" t="s">
        <v>487</v>
      </c>
      <c r="L111" s="7" t="s">
        <v>22</v>
      </c>
      <c r="M111" s="6" t="s">
        <v>331</v>
      </c>
      <c r="N111" s="6"/>
      <c r="O111" s="6">
        <f>HYPERLINK("https://docs.wto.org/imrd/directdoc.asp?DDFDocuments/t/G/SPS/NKAZ184.DOCX", "https://docs.wto.org/imrd/directdoc.asp?DDFDocuments/t/G/SPS/NKAZ184.DOCX")</f>
      </c>
      <c r="P111" s="6">
        <f>HYPERLINK("https://docs.wto.org/imrd/directdoc.asp?DDFDocuments/u/G/SPS/NKAZ184.DOCX", "https://docs.wto.org/imrd/directdoc.asp?DDFDocuments/u/G/SPS/NKAZ184.DOCX")</f>
      </c>
      <c r="Q111" s="6">
        <f>HYPERLINK("https://docs.wto.org/imrd/directdoc.asp?DDFDocuments/v/G/SPS/NKAZ184.DOCX", "https://docs.wto.org/imrd/directdoc.asp?DDFDocuments/v/G/SPS/NKAZ184.DOCX")</f>
      </c>
    </row>
    <row r="112">
      <c r="A112" s="6" t="s">
        <v>374</v>
      </c>
      <c r="B112" s="7">
        <v>45663</v>
      </c>
      <c r="C112" s="9">
        <f>HYPERLINK("https://eping.wto.org/en/Search?viewData= G/TBT/N/CRI/189/Add.25"," G/TBT/N/CRI/189/Add.25")</f>
      </c>
      <c r="D112" s="8" t="s">
        <v>375</v>
      </c>
      <c r="E112" s="8" t="s">
        <v>488</v>
      </c>
      <c r="F112" s="8" t="s">
        <v>377</v>
      </c>
      <c r="G112" s="8" t="s">
        <v>378</v>
      </c>
      <c r="H112" s="8" t="s">
        <v>379</v>
      </c>
      <c r="I112" s="8" t="s">
        <v>380</v>
      </c>
      <c r="J112" s="8" t="s">
        <v>22</v>
      </c>
      <c r="K112" s="6"/>
      <c r="L112" s="7" t="s">
        <v>22</v>
      </c>
      <c r="M112" s="6" t="s">
        <v>40</v>
      </c>
      <c r="N112" s="6"/>
      <c r="O112" s="6">
        <f>HYPERLINK("https://docs.wto.org/imrd/directdoc.asp?DDFDocuments/t/G/TBTN20/CRI189A25.DOCX", "https://docs.wto.org/imrd/directdoc.asp?DDFDocuments/t/G/TBTN20/CRI189A25.DOCX")</f>
      </c>
      <c r="P112" s="6">
        <f>HYPERLINK("https://docs.wto.org/imrd/directdoc.asp?DDFDocuments/u/G/TBTN20/CRI189A25.DOCX", "https://docs.wto.org/imrd/directdoc.asp?DDFDocuments/u/G/TBTN20/CRI189A25.DOCX")</f>
      </c>
      <c r="Q112" s="6">
        <f>HYPERLINK("https://docs.wto.org/imrd/directdoc.asp?DDFDocuments/v/G/TBTN20/CRI189A25.DOCX", "https://docs.wto.org/imrd/directdoc.asp?DDFDocuments/v/G/TBTN20/CRI189A25.DOCX")</f>
      </c>
    </row>
    <row r="113">
      <c r="A113" s="6" t="s">
        <v>82</v>
      </c>
      <c r="B113" s="7">
        <v>45663</v>
      </c>
      <c r="C113" s="9">
        <f>HYPERLINK("https://eping.wto.org/en/Search?viewData= G/SPS/N/BRA/2365"," G/SPS/N/BRA/2365")</f>
      </c>
      <c r="D113" s="8" t="s">
        <v>489</v>
      </c>
      <c r="E113" s="8" t="s">
        <v>490</v>
      </c>
      <c r="F113" s="8" t="s">
        <v>491</v>
      </c>
      <c r="G113" s="8" t="s">
        <v>22</v>
      </c>
      <c r="H113" s="8" t="s">
        <v>22</v>
      </c>
      <c r="I113" s="8" t="s">
        <v>390</v>
      </c>
      <c r="J113" s="8" t="s">
        <v>492</v>
      </c>
      <c r="K113" s="6" t="s">
        <v>22</v>
      </c>
      <c r="L113" s="7">
        <v>45723</v>
      </c>
      <c r="M113" s="6" t="s">
        <v>32</v>
      </c>
      <c r="N113" s="8" t="s">
        <v>493</v>
      </c>
      <c r="O113" s="6">
        <f>HYPERLINK("https://docs.wto.org/imrd/directdoc.asp?DDFDocuments/t/G/SPS/NBRA2365.DOCX", "https://docs.wto.org/imrd/directdoc.asp?DDFDocuments/t/G/SPS/NBRA2365.DOCX")</f>
      </c>
      <c r="P113" s="6">
        <f>HYPERLINK("https://docs.wto.org/imrd/directdoc.asp?DDFDocuments/u/G/SPS/NBRA2365.DOCX", "https://docs.wto.org/imrd/directdoc.asp?DDFDocuments/u/G/SPS/NBRA2365.DOCX")</f>
      </c>
      <c r="Q113" s="6">
        <f>HYPERLINK("https://docs.wto.org/imrd/directdoc.asp?DDFDocuments/v/G/SPS/NBRA2365.DOCX", "https://docs.wto.org/imrd/directdoc.asp?DDFDocuments/v/G/SPS/NBRA2365.DOCX")</f>
      </c>
    </row>
    <row r="114">
      <c r="A114" s="6" t="s">
        <v>343</v>
      </c>
      <c r="B114" s="7">
        <v>45663</v>
      </c>
      <c r="C114" s="9">
        <f>HYPERLINK("https://eping.wto.org/en/Search?viewData= G/SPS/N/THA/778"," G/SPS/N/THA/778")</f>
      </c>
      <c r="D114" s="8" t="s">
        <v>494</v>
      </c>
      <c r="E114" s="8" t="s">
        <v>495</v>
      </c>
      <c r="F114" s="8" t="s">
        <v>383</v>
      </c>
      <c r="G114" s="8" t="s">
        <v>347</v>
      </c>
      <c r="H114" s="8" t="s">
        <v>22</v>
      </c>
      <c r="I114" s="8" t="s">
        <v>348</v>
      </c>
      <c r="J114" s="8" t="s">
        <v>384</v>
      </c>
      <c r="K114" s="6" t="s">
        <v>496</v>
      </c>
      <c r="L114" s="7" t="s">
        <v>22</v>
      </c>
      <c r="M114" s="6" t="s">
        <v>331</v>
      </c>
      <c r="N114" s="6"/>
      <c r="O114" s="6">
        <f>HYPERLINK("https://docs.wto.org/imrd/directdoc.asp?DDFDocuments/t/G/SPS/NTHA778.DOCX", "https://docs.wto.org/imrd/directdoc.asp?DDFDocuments/t/G/SPS/NTHA778.DOCX")</f>
      </c>
      <c r="P114" s="6">
        <f>HYPERLINK("https://docs.wto.org/imrd/directdoc.asp?DDFDocuments/u/G/SPS/NTHA778.DOCX", "https://docs.wto.org/imrd/directdoc.asp?DDFDocuments/u/G/SPS/NTHA778.DOCX")</f>
      </c>
      <c r="Q114" s="6">
        <f>HYPERLINK("https://docs.wto.org/imrd/directdoc.asp?DDFDocuments/v/G/SPS/NTHA778.DOCX", "https://docs.wto.org/imrd/directdoc.asp?DDFDocuments/v/G/SPS/NTHA778.DOCX")</f>
      </c>
    </row>
    <row r="115">
      <c r="A115" s="6" t="s">
        <v>374</v>
      </c>
      <c r="B115" s="7">
        <v>45663</v>
      </c>
      <c r="C115" s="9">
        <f>HYPERLINK("https://eping.wto.org/en/Search?viewData= G/TBT/N/CRI/189/Add.24"," G/TBT/N/CRI/189/Add.24")</f>
      </c>
      <c r="D115" s="8" t="s">
        <v>375</v>
      </c>
      <c r="E115" s="8" t="s">
        <v>497</v>
      </c>
      <c r="F115" s="8" t="s">
        <v>377</v>
      </c>
      <c r="G115" s="8" t="s">
        <v>378</v>
      </c>
      <c r="H115" s="8" t="s">
        <v>379</v>
      </c>
      <c r="I115" s="8" t="s">
        <v>380</v>
      </c>
      <c r="J115" s="8" t="s">
        <v>22</v>
      </c>
      <c r="K115" s="6"/>
      <c r="L115" s="7" t="s">
        <v>22</v>
      </c>
      <c r="M115" s="6" t="s">
        <v>40</v>
      </c>
      <c r="N115" s="6"/>
      <c r="O115" s="6">
        <f>HYPERLINK("https://docs.wto.org/imrd/directdoc.asp?DDFDocuments/t/G/TBTN20/CRI189A24.DOCX", "https://docs.wto.org/imrd/directdoc.asp?DDFDocuments/t/G/TBTN20/CRI189A24.DOCX")</f>
      </c>
      <c r="P115" s="6">
        <f>HYPERLINK("https://docs.wto.org/imrd/directdoc.asp?DDFDocuments/u/G/TBTN20/CRI189A24.DOCX", "https://docs.wto.org/imrd/directdoc.asp?DDFDocuments/u/G/TBTN20/CRI189A24.DOCX")</f>
      </c>
      <c r="Q115" s="6">
        <f>HYPERLINK("https://docs.wto.org/imrd/directdoc.asp?DDFDocuments/v/G/TBTN20/CRI189A24.DOCX", "https://docs.wto.org/imrd/directdoc.asp?DDFDocuments/v/G/TBTN20/CRI189A24.DOCX")</f>
      </c>
    </row>
    <row r="116">
      <c r="A116" s="6" t="s">
        <v>374</v>
      </c>
      <c r="B116" s="7">
        <v>45663</v>
      </c>
      <c r="C116" s="9">
        <f>HYPERLINK("https://eping.wto.org/en/Search?viewData= G/TBT/N/CRI/189/Add.26"," G/TBT/N/CRI/189/Add.26")</f>
      </c>
      <c r="D116" s="8" t="s">
        <v>375</v>
      </c>
      <c r="E116" s="8" t="s">
        <v>498</v>
      </c>
      <c r="F116" s="8" t="s">
        <v>377</v>
      </c>
      <c r="G116" s="8" t="s">
        <v>378</v>
      </c>
      <c r="H116" s="8" t="s">
        <v>379</v>
      </c>
      <c r="I116" s="8" t="s">
        <v>380</v>
      </c>
      <c r="J116" s="8" t="s">
        <v>22</v>
      </c>
      <c r="K116" s="6"/>
      <c r="L116" s="7" t="s">
        <v>22</v>
      </c>
      <c r="M116" s="6" t="s">
        <v>40</v>
      </c>
      <c r="N116" s="6"/>
      <c r="O116" s="6">
        <f>HYPERLINK("https://docs.wto.org/imrd/directdoc.asp?DDFDocuments/t/G/TBTN20/CRI189A26.DOCX", "https://docs.wto.org/imrd/directdoc.asp?DDFDocuments/t/G/TBTN20/CRI189A26.DOCX")</f>
      </c>
      <c r="P116" s="6">
        <f>HYPERLINK("https://docs.wto.org/imrd/directdoc.asp?DDFDocuments/u/G/TBTN20/CRI189A26.DOCX", "https://docs.wto.org/imrd/directdoc.asp?DDFDocuments/u/G/TBTN20/CRI189A26.DOCX")</f>
      </c>
      <c r="Q116" s="6">
        <f>HYPERLINK("https://docs.wto.org/imrd/directdoc.asp?DDFDocuments/v/G/TBTN20/CRI189A26.DOCX", "https://docs.wto.org/imrd/directdoc.asp?DDFDocuments/v/G/TBTN20/CRI189A26.DOCX")</f>
      </c>
    </row>
    <row r="117">
      <c r="A117" s="6" t="s">
        <v>374</v>
      </c>
      <c r="B117" s="7">
        <v>45663</v>
      </c>
      <c r="C117" s="9">
        <f>HYPERLINK("https://eping.wto.org/en/Search?viewData= G/TBT/N/CRI/193/Add.2"," G/TBT/N/CRI/193/Add.2")</f>
      </c>
      <c r="D117" s="8" t="s">
        <v>407</v>
      </c>
      <c r="E117" s="8" t="s">
        <v>499</v>
      </c>
      <c r="F117" s="8" t="s">
        <v>409</v>
      </c>
      <c r="G117" s="8" t="s">
        <v>22</v>
      </c>
      <c r="H117" s="8" t="s">
        <v>410</v>
      </c>
      <c r="I117" s="8" t="s">
        <v>411</v>
      </c>
      <c r="J117" s="8" t="s">
        <v>22</v>
      </c>
      <c r="K117" s="6"/>
      <c r="L117" s="7" t="s">
        <v>22</v>
      </c>
      <c r="M117" s="6" t="s">
        <v>40</v>
      </c>
      <c r="N117" s="6"/>
      <c r="O117" s="6">
        <f>HYPERLINK("https://docs.wto.org/imrd/directdoc.asp?DDFDocuments/t/G/TBTN21/CRI193A2.DOCX", "https://docs.wto.org/imrd/directdoc.asp?DDFDocuments/t/G/TBTN21/CRI193A2.DOCX")</f>
      </c>
      <c r="P117" s="6">
        <f>HYPERLINK("https://docs.wto.org/imrd/directdoc.asp?DDFDocuments/u/G/TBTN21/CRI193A2.DOCX", "https://docs.wto.org/imrd/directdoc.asp?DDFDocuments/u/G/TBTN21/CRI193A2.DOCX")</f>
      </c>
      <c r="Q117" s="6">
        <f>HYPERLINK("https://docs.wto.org/imrd/directdoc.asp?DDFDocuments/v/G/TBTN21/CRI193A2.DOCX", "https://docs.wto.org/imrd/directdoc.asp?DDFDocuments/v/G/TBTN21/CRI193A2.DOCX")</f>
      </c>
    </row>
    <row r="118">
      <c r="A118" s="6" t="s">
        <v>82</v>
      </c>
      <c r="B118" s="7">
        <v>45646</v>
      </c>
      <c r="C118" s="9">
        <f>HYPERLINK("https://eping.wto.org/en/Search?viewData= G/SPS/N/BRA/2364"," G/SPS/N/BRA/2364")</f>
      </c>
      <c r="D118" s="8" t="s">
        <v>500</v>
      </c>
      <c r="E118" s="8" t="s">
        <v>501</v>
      </c>
      <c r="F118" s="8" t="s">
        <v>502</v>
      </c>
      <c r="G118" s="8" t="s">
        <v>503</v>
      </c>
      <c r="H118" s="8" t="s">
        <v>504</v>
      </c>
      <c r="I118" s="8" t="s">
        <v>120</v>
      </c>
      <c r="J118" s="8" t="s">
        <v>121</v>
      </c>
      <c r="K118" s="6"/>
      <c r="L118" s="7">
        <v>45705</v>
      </c>
      <c r="M118" s="6" t="s">
        <v>32</v>
      </c>
      <c r="N118" s="8" t="s">
        <v>505</v>
      </c>
      <c r="O118" s="6">
        <f>HYPERLINK("https://docs.wto.org/imrd/directdoc.asp?DDFDocuments/t/G/SPS/NBRA2364.DOCX", "https://docs.wto.org/imrd/directdoc.asp?DDFDocuments/t/G/SPS/NBRA2364.DOCX")</f>
      </c>
      <c r="P118" s="6">
        <f>HYPERLINK("https://docs.wto.org/imrd/directdoc.asp?DDFDocuments/u/G/SPS/NBRA2364.DOCX", "https://docs.wto.org/imrd/directdoc.asp?DDFDocuments/u/G/SPS/NBRA2364.DOCX")</f>
      </c>
      <c r="Q118" s="6">
        <f>HYPERLINK("https://docs.wto.org/imrd/directdoc.asp?DDFDocuments/v/G/SPS/NBRA2364.DOCX", "https://docs.wto.org/imrd/directdoc.asp?DDFDocuments/v/G/SPS/NBRA2364.DOCX")</f>
      </c>
    </row>
    <row r="119">
      <c r="A119" s="6" t="s">
        <v>104</v>
      </c>
      <c r="B119" s="7">
        <v>45646</v>
      </c>
      <c r="C119" s="9">
        <f>HYPERLINK("https://eping.wto.org/en/Search?viewData= G/TBT/N/CHN/1954"," G/TBT/N/CHN/1954")</f>
      </c>
      <c r="D119" s="8" t="s">
        <v>506</v>
      </c>
      <c r="E119" s="8" t="s">
        <v>507</v>
      </c>
      <c r="F119" s="8" t="s">
        <v>508</v>
      </c>
      <c r="G119" s="8" t="s">
        <v>509</v>
      </c>
      <c r="H119" s="8" t="s">
        <v>510</v>
      </c>
      <c r="I119" s="8" t="s">
        <v>511</v>
      </c>
      <c r="J119" s="8" t="s">
        <v>22</v>
      </c>
      <c r="K119" s="6"/>
      <c r="L119" s="7">
        <v>45706</v>
      </c>
      <c r="M119" s="6" t="s">
        <v>32</v>
      </c>
      <c r="N119" s="8" t="s">
        <v>512</v>
      </c>
      <c r="O119" s="6">
        <f>HYPERLINK("https://docs.wto.org/imrd/directdoc.asp?DDFDocuments/t/G/TBTN24/CHN1954.DOCX", "https://docs.wto.org/imrd/directdoc.asp?DDFDocuments/t/G/TBTN24/CHN1954.DOCX")</f>
      </c>
      <c r="P119" s="6">
        <f>HYPERLINK("https://docs.wto.org/imrd/directdoc.asp?DDFDocuments/u/G/TBTN24/CHN1954.DOCX", "https://docs.wto.org/imrd/directdoc.asp?DDFDocuments/u/G/TBTN24/CHN1954.DOCX")</f>
      </c>
      <c r="Q119" s="6">
        <f>HYPERLINK("https://docs.wto.org/imrd/directdoc.asp?DDFDocuments/v/G/TBTN24/CHN1954.DOCX", "https://docs.wto.org/imrd/directdoc.asp?DDFDocuments/v/G/TBTN24/CHN1954.DOCX")</f>
      </c>
    </row>
    <row r="120">
      <c r="A120" s="6" t="s">
        <v>513</v>
      </c>
      <c r="B120" s="7">
        <v>45646</v>
      </c>
      <c r="C120" s="9">
        <f>HYPERLINK("https://eping.wto.org/en/Search?viewData= G/SPS/N/IND/327"," G/SPS/N/IND/327")</f>
      </c>
      <c r="D120" s="8" t="s">
        <v>514</v>
      </c>
      <c r="E120" s="8" t="s">
        <v>515</v>
      </c>
      <c r="F120" s="8" t="s">
        <v>516</v>
      </c>
      <c r="G120" s="8" t="s">
        <v>517</v>
      </c>
      <c r="H120" s="8" t="s">
        <v>22</v>
      </c>
      <c r="I120" s="8" t="s">
        <v>518</v>
      </c>
      <c r="J120" s="8" t="s">
        <v>519</v>
      </c>
      <c r="K120" s="6" t="s">
        <v>520</v>
      </c>
      <c r="L120" s="7">
        <v>45706</v>
      </c>
      <c r="M120" s="6" t="s">
        <v>32</v>
      </c>
      <c r="N120" s="8" t="s">
        <v>521</v>
      </c>
      <c r="O120" s="6">
        <f>HYPERLINK("https://docs.wto.org/imrd/directdoc.asp?DDFDocuments/t/G/SPS/NIND327.DOCX", "https://docs.wto.org/imrd/directdoc.asp?DDFDocuments/t/G/SPS/NIND327.DOCX")</f>
      </c>
      <c r="P120" s="6">
        <f>HYPERLINK("https://docs.wto.org/imrd/directdoc.asp?DDFDocuments/u/G/SPS/NIND327.DOCX", "https://docs.wto.org/imrd/directdoc.asp?DDFDocuments/u/G/SPS/NIND327.DOCX")</f>
      </c>
      <c r="Q120" s="6">
        <f>HYPERLINK("https://docs.wto.org/imrd/directdoc.asp?DDFDocuments/v/G/SPS/NIND327.DOCX", "https://docs.wto.org/imrd/directdoc.asp?DDFDocuments/v/G/SPS/NIND327.DOCX")</f>
      </c>
    </row>
    <row r="121">
      <c r="A121" s="6" t="s">
        <v>104</v>
      </c>
      <c r="B121" s="7">
        <v>45646</v>
      </c>
      <c r="C121" s="9">
        <f>HYPERLINK("https://eping.wto.org/en/Search?viewData= G/TBT/N/CHN/1961"," G/TBT/N/CHN/1961")</f>
      </c>
      <c r="D121" s="8" t="s">
        <v>522</v>
      </c>
      <c r="E121" s="8" t="s">
        <v>523</v>
      </c>
      <c r="F121" s="8" t="s">
        <v>524</v>
      </c>
      <c r="G121" s="8" t="s">
        <v>525</v>
      </c>
      <c r="H121" s="8" t="s">
        <v>526</v>
      </c>
      <c r="I121" s="8" t="s">
        <v>527</v>
      </c>
      <c r="J121" s="8" t="s">
        <v>22</v>
      </c>
      <c r="K121" s="6"/>
      <c r="L121" s="7">
        <v>45706</v>
      </c>
      <c r="M121" s="6" t="s">
        <v>32</v>
      </c>
      <c r="N121" s="8" t="s">
        <v>528</v>
      </c>
      <c r="O121" s="6">
        <f>HYPERLINK("https://docs.wto.org/imrd/directdoc.asp?DDFDocuments/t/G/TBTN24/CHN1961.DOCX", "https://docs.wto.org/imrd/directdoc.asp?DDFDocuments/t/G/TBTN24/CHN1961.DOCX")</f>
      </c>
      <c r="P121" s="6">
        <f>HYPERLINK("https://docs.wto.org/imrd/directdoc.asp?DDFDocuments/u/G/TBTN24/CHN1961.DOCX", "https://docs.wto.org/imrd/directdoc.asp?DDFDocuments/u/G/TBTN24/CHN1961.DOCX")</f>
      </c>
      <c r="Q121" s="6">
        <f>HYPERLINK("https://docs.wto.org/imrd/directdoc.asp?DDFDocuments/v/G/TBTN24/CHN1961.DOCX", "https://docs.wto.org/imrd/directdoc.asp?DDFDocuments/v/G/TBTN24/CHN1961.DOCX")</f>
      </c>
    </row>
    <row r="122">
      <c r="A122" s="6" t="s">
        <v>360</v>
      </c>
      <c r="B122" s="7">
        <v>45646</v>
      </c>
      <c r="C122" s="9">
        <f>HYPERLINK("https://eping.wto.org/en/Search?viewData= G/SPS/N/CHL/814"," G/SPS/N/CHL/814")</f>
      </c>
      <c r="D122" s="8" t="s">
        <v>529</v>
      </c>
      <c r="E122" s="8" t="s">
        <v>530</v>
      </c>
      <c r="F122" s="8" t="s">
        <v>531</v>
      </c>
      <c r="G122" s="8" t="s">
        <v>532</v>
      </c>
      <c r="H122" s="8" t="s">
        <v>22</v>
      </c>
      <c r="I122" s="8" t="s">
        <v>128</v>
      </c>
      <c r="J122" s="8" t="s">
        <v>533</v>
      </c>
      <c r="K122" s="6" t="s">
        <v>418</v>
      </c>
      <c r="L122" s="7">
        <v>45706</v>
      </c>
      <c r="M122" s="6" t="s">
        <v>32</v>
      </c>
      <c r="N122" s="8" t="s">
        <v>534</v>
      </c>
      <c r="O122" s="6">
        <f>HYPERLINK("https://docs.wto.org/imrd/directdoc.asp?DDFDocuments/t/G/SPS/NCHL814.DOCX", "https://docs.wto.org/imrd/directdoc.asp?DDFDocuments/t/G/SPS/NCHL814.DOCX")</f>
      </c>
      <c r="P122" s="6">
        <f>HYPERLINK("https://docs.wto.org/imrd/directdoc.asp?DDFDocuments/u/G/SPS/NCHL814.DOCX", "https://docs.wto.org/imrd/directdoc.asp?DDFDocuments/u/G/SPS/NCHL814.DOCX")</f>
      </c>
      <c r="Q122" s="6">
        <f>HYPERLINK("https://docs.wto.org/imrd/directdoc.asp?DDFDocuments/v/G/SPS/NCHL814.DOCX", "https://docs.wto.org/imrd/directdoc.asp?DDFDocuments/v/G/SPS/NCHL814.DOCX")</f>
      </c>
    </row>
    <row r="123">
      <c r="A123" s="6" t="s">
        <v>104</v>
      </c>
      <c r="B123" s="7">
        <v>45646</v>
      </c>
      <c r="C123" s="9">
        <f>HYPERLINK("https://eping.wto.org/en/Search?viewData= G/TBT/N/CHN/1959"," G/TBT/N/CHN/1959")</f>
      </c>
      <c r="D123" s="8" t="s">
        <v>535</v>
      </c>
      <c r="E123" s="8" t="s">
        <v>536</v>
      </c>
      <c r="F123" s="8" t="s">
        <v>537</v>
      </c>
      <c r="G123" s="8" t="s">
        <v>538</v>
      </c>
      <c r="H123" s="8" t="s">
        <v>539</v>
      </c>
      <c r="I123" s="8" t="s">
        <v>511</v>
      </c>
      <c r="J123" s="8" t="s">
        <v>22</v>
      </c>
      <c r="K123" s="6"/>
      <c r="L123" s="7">
        <v>45706</v>
      </c>
      <c r="M123" s="6" t="s">
        <v>32</v>
      </c>
      <c r="N123" s="8" t="s">
        <v>540</v>
      </c>
      <c r="O123" s="6">
        <f>HYPERLINK("https://docs.wto.org/imrd/directdoc.asp?DDFDocuments/t/G/TBTN24/CHN1959.DOCX", "https://docs.wto.org/imrd/directdoc.asp?DDFDocuments/t/G/TBTN24/CHN1959.DOCX")</f>
      </c>
      <c r="P123" s="6">
        <f>HYPERLINK("https://docs.wto.org/imrd/directdoc.asp?DDFDocuments/u/G/TBTN24/CHN1959.DOCX", "https://docs.wto.org/imrd/directdoc.asp?DDFDocuments/u/G/TBTN24/CHN1959.DOCX")</f>
      </c>
      <c r="Q123" s="6">
        <f>HYPERLINK("https://docs.wto.org/imrd/directdoc.asp?DDFDocuments/v/G/TBTN24/CHN1959.DOCX", "https://docs.wto.org/imrd/directdoc.asp?DDFDocuments/v/G/TBTN24/CHN1959.DOCX")</f>
      </c>
    </row>
    <row r="124">
      <c r="A124" s="6" t="s">
        <v>104</v>
      </c>
      <c r="B124" s="7">
        <v>45646</v>
      </c>
      <c r="C124" s="9">
        <f>HYPERLINK("https://eping.wto.org/en/Search?viewData= G/TBT/N/CHN/1957"," G/TBT/N/CHN/1957")</f>
      </c>
      <c r="D124" s="8" t="s">
        <v>541</v>
      </c>
      <c r="E124" s="8" t="s">
        <v>542</v>
      </c>
      <c r="F124" s="8" t="s">
        <v>543</v>
      </c>
      <c r="G124" s="8" t="s">
        <v>544</v>
      </c>
      <c r="H124" s="8" t="s">
        <v>545</v>
      </c>
      <c r="I124" s="8" t="s">
        <v>292</v>
      </c>
      <c r="J124" s="8" t="s">
        <v>22</v>
      </c>
      <c r="K124" s="6"/>
      <c r="L124" s="7">
        <v>45706</v>
      </c>
      <c r="M124" s="6" t="s">
        <v>32</v>
      </c>
      <c r="N124" s="8" t="s">
        <v>546</v>
      </c>
      <c r="O124" s="6">
        <f>HYPERLINK("https://docs.wto.org/imrd/directdoc.asp?DDFDocuments/t/G/TBTN24/CHN1957.DOCX", "https://docs.wto.org/imrd/directdoc.asp?DDFDocuments/t/G/TBTN24/CHN1957.DOCX")</f>
      </c>
      <c r="P124" s="6">
        <f>HYPERLINK("https://docs.wto.org/imrd/directdoc.asp?DDFDocuments/u/G/TBTN24/CHN1957.DOCX", "https://docs.wto.org/imrd/directdoc.asp?DDFDocuments/u/G/TBTN24/CHN1957.DOCX")</f>
      </c>
      <c r="Q124" s="6">
        <f>HYPERLINK("https://docs.wto.org/imrd/directdoc.asp?DDFDocuments/v/G/TBTN24/CHN1957.DOCX", "https://docs.wto.org/imrd/directdoc.asp?DDFDocuments/v/G/TBTN24/CHN1957.DOCX")</f>
      </c>
    </row>
    <row r="125">
      <c r="A125" s="6" t="s">
        <v>104</v>
      </c>
      <c r="B125" s="7">
        <v>45646</v>
      </c>
      <c r="C125" s="9">
        <f>HYPERLINK("https://eping.wto.org/en/Search?viewData= G/TBT/N/CHN/1958"," G/TBT/N/CHN/1958")</f>
      </c>
      <c r="D125" s="8" t="s">
        <v>547</v>
      </c>
      <c r="E125" s="8" t="s">
        <v>548</v>
      </c>
      <c r="F125" s="8" t="s">
        <v>549</v>
      </c>
      <c r="G125" s="8" t="s">
        <v>550</v>
      </c>
      <c r="H125" s="8" t="s">
        <v>551</v>
      </c>
      <c r="I125" s="8" t="s">
        <v>39</v>
      </c>
      <c r="J125" s="8" t="s">
        <v>22</v>
      </c>
      <c r="K125" s="6"/>
      <c r="L125" s="7">
        <v>45706</v>
      </c>
      <c r="M125" s="6" t="s">
        <v>32</v>
      </c>
      <c r="N125" s="8" t="s">
        <v>552</v>
      </c>
      <c r="O125" s="6">
        <f>HYPERLINK("https://docs.wto.org/imrd/directdoc.asp?DDFDocuments/t/G/TBTN24/CHN1958.DOCX", "https://docs.wto.org/imrd/directdoc.asp?DDFDocuments/t/G/TBTN24/CHN1958.DOCX")</f>
      </c>
      <c r="P125" s="6">
        <f>HYPERLINK("https://docs.wto.org/imrd/directdoc.asp?DDFDocuments/u/G/TBTN24/CHN1958.DOCX", "https://docs.wto.org/imrd/directdoc.asp?DDFDocuments/u/G/TBTN24/CHN1958.DOCX")</f>
      </c>
      <c r="Q125" s="6">
        <f>HYPERLINK("https://docs.wto.org/imrd/directdoc.asp?DDFDocuments/v/G/TBTN24/CHN1958.DOCX", "https://docs.wto.org/imrd/directdoc.asp?DDFDocuments/v/G/TBTN24/CHN1958.DOCX")</f>
      </c>
    </row>
    <row r="126">
      <c r="A126" s="6" t="s">
        <v>472</v>
      </c>
      <c r="B126" s="7">
        <v>45646</v>
      </c>
      <c r="C126" s="9">
        <f>HYPERLINK("https://eping.wto.org/en/Search?viewData= G/TBT/N/JPN/847"," G/TBT/N/JPN/847")</f>
      </c>
      <c r="D126" s="8" t="s">
        <v>553</v>
      </c>
      <c r="E126" s="8" t="s">
        <v>554</v>
      </c>
      <c r="F126" s="8" t="s">
        <v>555</v>
      </c>
      <c r="G126" s="8" t="s">
        <v>22</v>
      </c>
      <c r="H126" s="8" t="s">
        <v>556</v>
      </c>
      <c r="I126" s="8" t="s">
        <v>557</v>
      </c>
      <c r="J126" s="8" t="s">
        <v>558</v>
      </c>
      <c r="K126" s="6"/>
      <c r="L126" s="7" t="s">
        <v>22</v>
      </c>
      <c r="M126" s="6" t="s">
        <v>32</v>
      </c>
      <c r="N126" s="8" t="s">
        <v>559</v>
      </c>
      <c r="O126" s="6">
        <f>HYPERLINK("https://docs.wto.org/imrd/directdoc.asp?DDFDocuments/t/G/TBTN24/JPN847.DOCX", "https://docs.wto.org/imrd/directdoc.asp?DDFDocuments/t/G/TBTN24/JPN847.DOCX")</f>
      </c>
      <c r="P126" s="6">
        <f>HYPERLINK("https://docs.wto.org/imrd/directdoc.asp?DDFDocuments/u/G/TBTN24/JPN847.DOCX", "https://docs.wto.org/imrd/directdoc.asp?DDFDocuments/u/G/TBTN24/JPN847.DOCX")</f>
      </c>
      <c r="Q126" s="6">
        <f>HYPERLINK("https://docs.wto.org/imrd/directdoc.asp?DDFDocuments/v/G/TBTN24/JPN847.DOCX", "https://docs.wto.org/imrd/directdoc.asp?DDFDocuments/v/G/TBTN24/JPN847.DOCX")</f>
      </c>
    </row>
    <row r="127">
      <c r="A127" s="6" t="s">
        <v>104</v>
      </c>
      <c r="B127" s="7">
        <v>45646</v>
      </c>
      <c r="C127" s="9">
        <f>HYPERLINK("https://eping.wto.org/en/Search?viewData= G/TBT/N/CHN/1956"," G/TBT/N/CHN/1956")</f>
      </c>
      <c r="D127" s="8" t="s">
        <v>560</v>
      </c>
      <c r="E127" s="8" t="s">
        <v>561</v>
      </c>
      <c r="F127" s="8" t="s">
        <v>562</v>
      </c>
      <c r="G127" s="8" t="s">
        <v>563</v>
      </c>
      <c r="H127" s="8" t="s">
        <v>564</v>
      </c>
      <c r="I127" s="8" t="s">
        <v>527</v>
      </c>
      <c r="J127" s="8" t="s">
        <v>22</v>
      </c>
      <c r="K127" s="6"/>
      <c r="L127" s="7">
        <v>45706</v>
      </c>
      <c r="M127" s="6" t="s">
        <v>32</v>
      </c>
      <c r="N127" s="8" t="s">
        <v>565</v>
      </c>
      <c r="O127" s="6">
        <f>HYPERLINK("https://docs.wto.org/imrd/directdoc.asp?DDFDocuments/t/G/TBTN24/CHN1956.DOCX", "https://docs.wto.org/imrd/directdoc.asp?DDFDocuments/t/G/TBTN24/CHN1956.DOCX")</f>
      </c>
      <c r="P127" s="6">
        <f>HYPERLINK("https://docs.wto.org/imrd/directdoc.asp?DDFDocuments/u/G/TBTN24/CHN1956.DOCX", "https://docs.wto.org/imrd/directdoc.asp?DDFDocuments/u/G/TBTN24/CHN1956.DOCX")</f>
      </c>
      <c r="Q127" s="6">
        <f>HYPERLINK("https://docs.wto.org/imrd/directdoc.asp?DDFDocuments/v/G/TBTN24/CHN1956.DOCX", "https://docs.wto.org/imrd/directdoc.asp?DDFDocuments/v/G/TBTN24/CHN1956.DOCX")</f>
      </c>
    </row>
    <row r="128">
      <c r="A128" s="6" t="s">
        <v>104</v>
      </c>
      <c r="B128" s="7">
        <v>45646</v>
      </c>
      <c r="C128" s="9">
        <f>HYPERLINK("https://eping.wto.org/en/Search?viewData= G/TBT/N/CHN/1948"," G/TBT/N/CHN/1948")</f>
      </c>
      <c r="D128" s="8" t="s">
        <v>566</v>
      </c>
      <c r="E128" s="8" t="s">
        <v>567</v>
      </c>
      <c r="F128" s="8" t="s">
        <v>568</v>
      </c>
      <c r="G128" s="8" t="s">
        <v>569</v>
      </c>
      <c r="H128" s="8" t="s">
        <v>570</v>
      </c>
      <c r="I128" s="8" t="s">
        <v>39</v>
      </c>
      <c r="J128" s="8" t="s">
        <v>22</v>
      </c>
      <c r="K128" s="6"/>
      <c r="L128" s="7">
        <v>45706</v>
      </c>
      <c r="M128" s="6" t="s">
        <v>32</v>
      </c>
      <c r="N128" s="8" t="s">
        <v>571</v>
      </c>
      <c r="O128" s="6">
        <f>HYPERLINK("https://docs.wto.org/imrd/directdoc.asp?DDFDocuments/t/G/TBTN24/CHN1948.DOCX", "https://docs.wto.org/imrd/directdoc.asp?DDFDocuments/t/G/TBTN24/CHN1948.DOCX")</f>
      </c>
      <c r="P128" s="6">
        <f>HYPERLINK("https://docs.wto.org/imrd/directdoc.asp?DDFDocuments/u/G/TBTN24/CHN1948.DOCX", "https://docs.wto.org/imrd/directdoc.asp?DDFDocuments/u/G/TBTN24/CHN1948.DOCX")</f>
      </c>
      <c r="Q128" s="6">
        <f>HYPERLINK("https://docs.wto.org/imrd/directdoc.asp?DDFDocuments/v/G/TBTN24/CHN1948.DOCX", "https://docs.wto.org/imrd/directdoc.asp?DDFDocuments/v/G/TBTN24/CHN1948.DOCX")</f>
      </c>
    </row>
    <row r="129">
      <c r="A129" s="6" t="s">
        <v>104</v>
      </c>
      <c r="B129" s="7">
        <v>45646</v>
      </c>
      <c r="C129" s="9">
        <f>HYPERLINK("https://eping.wto.org/en/Search?viewData= G/TBT/N/CHN/1952"," G/TBT/N/CHN/1952")</f>
      </c>
      <c r="D129" s="8" t="s">
        <v>572</v>
      </c>
      <c r="E129" s="8" t="s">
        <v>573</v>
      </c>
      <c r="F129" s="8" t="s">
        <v>574</v>
      </c>
      <c r="G129" s="8" t="s">
        <v>575</v>
      </c>
      <c r="H129" s="8" t="s">
        <v>576</v>
      </c>
      <c r="I129" s="8" t="s">
        <v>292</v>
      </c>
      <c r="J129" s="8" t="s">
        <v>22</v>
      </c>
      <c r="K129" s="6"/>
      <c r="L129" s="7">
        <v>45706</v>
      </c>
      <c r="M129" s="6" t="s">
        <v>32</v>
      </c>
      <c r="N129" s="8" t="s">
        <v>577</v>
      </c>
      <c r="O129" s="6">
        <f>HYPERLINK("https://docs.wto.org/imrd/directdoc.asp?DDFDocuments/t/G/TBTN24/CHN1952.DOCX", "https://docs.wto.org/imrd/directdoc.asp?DDFDocuments/t/G/TBTN24/CHN1952.DOCX")</f>
      </c>
      <c r="P129" s="6">
        <f>HYPERLINK("https://docs.wto.org/imrd/directdoc.asp?DDFDocuments/u/G/TBTN24/CHN1952.DOCX", "https://docs.wto.org/imrd/directdoc.asp?DDFDocuments/u/G/TBTN24/CHN1952.DOCX")</f>
      </c>
      <c r="Q129" s="6">
        <f>HYPERLINK("https://docs.wto.org/imrd/directdoc.asp?DDFDocuments/v/G/TBTN24/CHN1952.DOCX", "https://docs.wto.org/imrd/directdoc.asp?DDFDocuments/v/G/TBTN24/CHN1952.DOCX")</f>
      </c>
    </row>
    <row r="130">
      <c r="A130" s="6" t="s">
        <v>472</v>
      </c>
      <c r="B130" s="7">
        <v>45646</v>
      </c>
      <c r="C130" s="9">
        <f>HYPERLINK("https://eping.wto.org/en/Search?viewData= G/TBT/N/JPN/832/Add.1"," G/TBT/N/JPN/832/Add.1")</f>
      </c>
      <c r="D130" s="8" t="s">
        <v>578</v>
      </c>
      <c r="E130" s="8" t="s">
        <v>579</v>
      </c>
      <c r="F130" s="8" t="s">
        <v>580</v>
      </c>
      <c r="G130" s="8" t="s">
        <v>22</v>
      </c>
      <c r="H130" s="8" t="s">
        <v>581</v>
      </c>
      <c r="I130" s="8" t="s">
        <v>138</v>
      </c>
      <c r="J130" s="8" t="s">
        <v>22</v>
      </c>
      <c r="K130" s="6"/>
      <c r="L130" s="7" t="s">
        <v>22</v>
      </c>
      <c r="M130" s="6" t="s">
        <v>40</v>
      </c>
      <c r="N130" s="8" t="s">
        <v>582</v>
      </c>
      <c r="O130" s="6">
        <f>HYPERLINK("https://docs.wto.org/imrd/directdoc.asp?DDFDocuments/t/G/TBTN24/JPN832A1.DOCX", "https://docs.wto.org/imrd/directdoc.asp?DDFDocuments/t/G/TBTN24/JPN832A1.DOCX")</f>
      </c>
      <c r="P130" s="6">
        <f>HYPERLINK("https://docs.wto.org/imrd/directdoc.asp?DDFDocuments/u/G/TBTN24/JPN832A1.DOCX", "https://docs.wto.org/imrd/directdoc.asp?DDFDocuments/u/G/TBTN24/JPN832A1.DOCX")</f>
      </c>
      <c r="Q130" s="6">
        <f>HYPERLINK("https://docs.wto.org/imrd/directdoc.asp?DDFDocuments/v/G/TBTN24/JPN832A1.DOCX", "https://docs.wto.org/imrd/directdoc.asp?DDFDocuments/v/G/TBTN24/JPN832A1.DOCX")</f>
      </c>
    </row>
    <row r="131">
      <c r="A131" s="6" t="s">
        <v>583</v>
      </c>
      <c r="B131" s="7">
        <v>45646</v>
      </c>
      <c r="C131" s="9">
        <f>HYPERLINK("https://eping.wto.org/en/Search?viewData= G/SPS/N/EGY/156/Corr.1"," G/SPS/N/EGY/156/Corr.1")</f>
      </c>
      <c r="D131" s="8" t="s">
        <v>584</v>
      </c>
      <c r="E131" s="8" t="s">
        <v>585</v>
      </c>
      <c r="F131" s="8" t="s">
        <v>586</v>
      </c>
      <c r="G131" s="8" t="s">
        <v>587</v>
      </c>
      <c r="H131" s="8" t="s">
        <v>588</v>
      </c>
      <c r="I131" s="8" t="s">
        <v>589</v>
      </c>
      <c r="J131" s="8" t="s">
        <v>590</v>
      </c>
      <c r="K131" s="6"/>
      <c r="L131" s="7" t="s">
        <v>22</v>
      </c>
      <c r="M131" s="6" t="s">
        <v>248</v>
      </c>
      <c r="N131" s="6"/>
      <c r="O131" s="6">
        <f>HYPERLINK("https://docs.wto.org/imrd/directdoc.asp?DDFDocuments/t/G/SPS/NEGY156C1.DOCX", "https://docs.wto.org/imrd/directdoc.asp?DDFDocuments/t/G/SPS/NEGY156C1.DOCX")</f>
      </c>
      <c r="P131" s="6">
        <f>HYPERLINK("https://docs.wto.org/imrd/directdoc.asp?DDFDocuments/u/G/SPS/NEGY156C1.DOCX", "https://docs.wto.org/imrd/directdoc.asp?DDFDocuments/u/G/SPS/NEGY156C1.DOCX")</f>
      </c>
      <c r="Q131" s="6">
        <f>HYPERLINK("https://docs.wto.org/imrd/directdoc.asp?DDFDocuments/v/G/SPS/NEGY156C1.DOCX", "https://docs.wto.org/imrd/directdoc.asp?DDFDocuments/v/G/SPS/NEGY156C1.DOCX")</f>
      </c>
    </row>
    <row r="132">
      <c r="A132" s="6" t="s">
        <v>104</v>
      </c>
      <c r="B132" s="7">
        <v>45646</v>
      </c>
      <c r="C132" s="9">
        <f>HYPERLINK("https://eping.wto.org/en/Search?viewData= G/TBT/N/CHN/1953"," G/TBT/N/CHN/1953")</f>
      </c>
      <c r="D132" s="8" t="s">
        <v>591</v>
      </c>
      <c r="E132" s="8" t="s">
        <v>592</v>
      </c>
      <c r="F132" s="8" t="s">
        <v>593</v>
      </c>
      <c r="G132" s="8" t="s">
        <v>594</v>
      </c>
      <c r="H132" s="8" t="s">
        <v>595</v>
      </c>
      <c r="I132" s="8" t="s">
        <v>596</v>
      </c>
      <c r="J132" s="8" t="s">
        <v>22</v>
      </c>
      <c r="K132" s="6"/>
      <c r="L132" s="7">
        <v>45706</v>
      </c>
      <c r="M132" s="6" t="s">
        <v>32</v>
      </c>
      <c r="N132" s="8" t="s">
        <v>597</v>
      </c>
      <c r="O132" s="6">
        <f>HYPERLINK("https://docs.wto.org/imrd/directdoc.asp?DDFDocuments/t/G/TBTN24/CHN1953.DOCX", "https://docs.wto.org/imrd/directdoc.asp?DDFDocuments/t/G/TBTN24/CHN1953.DOCX")</f>
      </c>
      <c r="P132" s="6">
        <f>HYPERLINK("https://docs.wto.org/imrd/directdoc.asp?DDFDocuments/u/G/TBTN24/CHN1953.DOCX", "https://docs.wto.org/imrd/directdoc.asp?DDFDocuments/u/G/TBTN24/CHN1953.DOCX")</f>
      </c>
      <c r="Q132" s="6">
        <f>HYPERLINK("https://docs.wto.org/imrd/directdoc.asp?DDFDocuments/v/G/TBTN24/CHN1953.DOCX", "https://docs.wto.org/imrd/directdoc.asp?DDFDocuments/v/G/TBTN24/CHN1953.DOCX")</f>
      </c>
    </row>
    <row r="133">
      <c r="A133" s="6" t="s">
        <v>104</v>
      </c>
      <c r="B133" s="7">
        <v>45646</v>
      </c>
      <c r="C133" s="9">
        <f>HYPERLINK("https://eping.wto.org/en/Search?viewData= G/TBT/N/CHN/1949"," G/TBT/N/CHN/1949")</f>
      </c>
      <c r="D133" s="8" t="s">
        <v>598</v>
      </c>
      <c r="E133" s="8" t="s">
        <v>599</v>
      </c>
      <c r="F133" s="8" t="s">
        <v>568</v>
      </c>
      <c r="G133" s="8" t="s">
        <v>569</v>
      </c>
      <c r="H133" s="8" t="s">
        <v>570</v>
      </c>
      <c r="I133" s="8" t="s">
        <v>39</v>
      </c>
      <c r="J133" s="8" t="s">
        <v>22</v>
      </c>
      <c r="K133" s="6"/>
      <c r="L133" s="7">
        <v>45706</v>
      </c>
      <c r="M133" s="6" t="s">
        <v>32</v>
      </c>
      <c r="N133" s="8" t="s">
        <v>600</v>
      </c>
      <c r="O133" s="6">
        <f>HYPERLINK("https://docs.wto.org/imrd/directdoc.asp?DDFDocuments/t/G/TBTN24/CHN1949.DOCX", "https://docs.wto.org/imrd/directdoc.asp?DDFDocuments/t/G/TBTN24/CHN1949.DOCX")</f>
      </c>
      <c r="P133" s="6">
        <f>HYPERLINK("https://docs.wto.org/imrd/directdoc.asp?DDFDocuments/u/G/TBTN24/CHN1949.DOCX", "https://docs.wto.org/imrd/directdoc.asp?DDFDocuments/u/G/TBTN24/CHN1949.DOCX")</f>
      </c>
      <c r="Q133" s="6">
        <f>HYPERLINK("https://docs.wto.org/imrd/directdoc.asp?DDFDocuments/v/G/TBTN24/CHN1949.DOCX", "https://docs.wto.org/imrd/directdoc.asp?DDFDocuments/v/G/TBTN24/CHN1949.DOCX")</f>
      </c>
    </row>
    <row r="134">
      <c r="A134" s="6" t="s">
        <v>104</v>
      </c>
      <c r="B134" s="7">
        <v>45646</v>
      </c>
      <c r="C134" s="9">
        <f>HYPERLINK("https://eping.wto.org/en/Search?viewData= G/TBT/N/CHN/1950"," G/TBT/N/CHN/1950")</f>
      </c>
      <c r="D134" s="8" t="s">
        <v>601</v>
      </c>
      <c r="E134" s="8" t="s">
        <v>602</v>
      </c>
      <c r="F134" s="8" t="s">
        <v>543</v>
      </c>
      <c r="G134" s="8" t="s">
        <v>544</v>
      </c>
      <c r="H134" s="8" t="s">
        <v>545</v>
      </c>
      <c r="I134" s="8" t="s">
        <v>39</v>
      </c>
      <c r="J134" s="8" t="s">
        <v>22</v>
      </c>
      <c r="K134" s="6"/>
      <c r="L134" s="7">
        <v>45706</v>
      </c>
      <c r="M134" s="6" t="s">
        <v>32</v>
      </c>
      <c r="N134" s="8" t="s">
        <v>603</v>
      </c>
      <c r="O134" s="6">
        <f>HYPERLINK("https://docs.wto.org/imrd/directdoc.asp?DDFDocuments/t/G/TBTN24/CHN1950.DOCX", "https://docs.wto.org/imrd/directdoc.asp?DDFDocuments/t/G/TBTN24/CHN1950.DOCX")</f>
      </c>
      <c r="P134" s="6">
        <f>HYPERLINK("https://docs.wto.org/imrd/directdoc.asp?DDFDocuments/u/G/TBTN24/CHN1950.DOCX", "https://docs.wto.org/imrd/directdoc.asp?DDFDocuments/u/G/TBTN24/CHN1950.DOCX")</f>
      </c>
      <c r="Q134" s="6">
        <f>HYPERLINK("https://docs.wto.org/imrd/directdoc.asp?DDFDocuments/v/G/TBTN24/CHN1950.DOCX", "https://docs.wto.org/imrd/directdoc.asp?DDFDocuments/v/G/TBTN24/CHN1950.DOCX")</f>
      </c>
    </row>
    <row r="135">
      <c r="A135" s="6" t="s">
        <v>472</v>
      </c>
      <c r="B135" s="7">
        <v>45646</v>
      </c>
      <c r="C135" s="9">
        <f>HYPERLINK("https://eping.wto.org/en/Search?viewData= G/TBT/N/JPN/831/Add.1"," G/TBT/N/JPN/831/Add.1")</f>
      </c>
      <c r="D135" s="8" t="s">
        <v>604</v>
      </c>
      <c r="E135" s="8" t="s">
        <v>605</v>
      </c>
      <c r="F135" s="8" t="s">
        <v>606</v>
      </c>
      <c r="G135" s="8" t="s">
        <v>22</v>
      </c>
      <c r="H135" s="8" t="s">
        <v>607</v>
      </c>
      <c r="I135" s="8" t="s">
        <v>138</v>
      </c>
      <c r="J135" s="8" t="s">
        <v>22</v>
      </c>
      <c r="K135" s="6"/>
      <c r="L135" s="7" t="s">
        <v>22</v>
      </c>
      <c r="M135" s="6" t="s">
        <v>40</v>
      </c>
      <c r="N135" s="8" t="s">
        <v>582</v>
      </c>
      <c r="O135" s="6">
        <f>HYPERLINK("https://docs.wto.org/imrd/directdoc.asp?DDFDocuments/t/G/TBTN24/JPN831A1.DOCX", "https://docs.wto.org/imrd/directdoc.asp?DDFDocuments/t/G/TBTN24/JPN831A1.DOCX")</f>
      </c>
      <c r="P135" s="6">
        <f>HYPERLINK("https://docs.wto.org/imrd/directdoc.asp?DDFDocuments/u/G/TBTN24/JPN831A1.DOCX", "https://docs.wto.org/imrd/directdoc.asp?DDFDocuments/u/G/TBTN24/JPN831A1.DOCX")</f>
      </c>
      <c r="Q135" s="6">
        <f>HYPERLINK("https://docs.wto.org/imrd/directdoc.asp?DDFDocuments/v/G/TBTN24/JPN831A1.DOCX", "https://docs.wto.org/imrd/directdoc.asp?DDFDocuments/v/G/TBTN24/JPN831A1.DOCX")</f>
      </c>
    </row>
    <row r="136">
      <c r="A136" s="6" t="s">
        <v>104</v>
      </c>
      <c r="B136" s="7">
        <v>45646</v>
      </c>
      <c r="C136" s="9">
        <f>HYPERLINK("https://eping.wto.org/en/Search?viewData= G/TBT/N/CHN/1951"," G/TBT/N/CHN/1951")</f>
      </c>
      <c r="D136" s="8" t="s">
        <v>608</v>
      </c>
      <c r="E136" s="8" t="s">
        <v>609</v>
      </c>
      <c r="F136" s="8" t="s">
        <v>610</v>
      </c>
      <c r="G136" s="8" t="s">
        <v>611</v>
      </c>
      <c r="H136" s="8" t="s">
        <v>612</v>
      </c>
      <c r="I136" s="8" t="s">
        <v>39</v>
      </c>
      <c r="J136" s="8" t="s">
        <v>22</v>
      </c>
      <c r="K136" s="6"/>
      <c r="L136" s="7">
        <v>45706</v>
      </c>
      <c r="M136" s="6" t="s">
        <v>32</v>
      </c>
      <c r="N136" s="8" t="s">
        <v>613</v>
      </c>
      <c r="O136" s="6">
        <f>HYPERLINK("https://docs.wto.org/imrd/directdoc.asp?DDFDocuments/t/G/TBTN24/CHN1951.DOCX", "https://docs.wto.org/imrd/directdoc.asp?DDFDocuments/t/G/TBTN24/CHN1951.DOCX")</f>
      </c>
      <c r="P136" s="6">
        <f>HYPERLINK("https://docs.wto.org/imrd/directdoc.asp?DDFDocuments/u/G/TBTN24/CHN1951.DOCX", "https://docs.wto.org/imrd/directdoc.asp?DDFDocuments/u/G/TBTN24/CHN1951.DOCX")</f>
      </c>
      <c r="Q136" s="6">
        <f>HYPERLINK("https://docs.wto.org/imrd/directdoc.asp?DDFDocuments/v/G/TBTN24/CHN1951.DOCX", "https://docs.wto.org/imrd/directdoc.asp?DDFDocuments/v/G/TBTN24/CHN1951.DOCX")</f>
      </c>
    </row>
    <row r="137">
      <c r="A137" s="6" t="s">
        <v>104</v>
      </c>
      <c r="B137" s="7">
        <v>45646</v>
      </c>
      <c r="C137" s="9">
        <f>HYPERLINK("https://eping.wto.org/en/Search?viewData= G/TBT/N/CHN/1960"," G/TBT/N/CHN/1960")</f>
      </c>
      <c r="D137" s="8" t="s">
        <v>614</v>
      </c>
      <c r="E137" s="8" t="s">
        <v>615</v>
      </c>
      <c r="F137" s="8" t="s">
        <v>616</v>
      </c>
      <c r="G137" s="8" t="s">
        <v>617</v>
      </c>
      <c r="H137" s="8" t="s">
        <v>618</v>
      </c>
      <c r="I137" s="8" t="s">
        <v>619</v>
      </c>
      <c r="J137" s="8" t="s">
        <v>22</v>
      </c>
      <c r="K137" s="6"/>
      <c r="L137" s="7">
        <v>45706</v>
      </c>
      <c r="M137" s="6" t="s">
        <v>32</v>
      </c>
      <c r="N137" s="8" t="s">
        <v>620</v>
      </c>
      <c r="O137" s="6">
        <f>HYPERLINK("https://docs.wto.org/imrd/directdoc.asp?DDFDocuments/t/G/TBTN24/CHN1960.DOCX", "https://docs.wto.org/imrd/directdoc.asp?DDFDocuments/t/G/TBTN24/CHN1960.DOCX")</f>
      </c>
      <c r="P137" s="6">
        <f>HYPERLINK("https://docs.wto.org/imrd/directdoc.asp?DDFDocuments/u/G/TBTN24/CHN1960.DOCX", "https://docs.wto.org/imrd/directdoc.asp?DDFDocuments/u/G/TBTN24/CHN1960.DOCX")</f>
      </c>
      <c r="Q137" s="6">
        <f>HYPERLINK("https://docs.wto.org/imrd/directdoc.asp?DDFDocuments/v/G/TBTN24/CHN1960.DOCX", "https://docs.wto.org/imrd/directdoc.asp?DDFDocuments/v/G/TBTN24/CHN1960.DOCX")</f>
      </c>
    </row>
    <row r="138">
      <c r="A138" s="6" t="s">
        <v>104</v>
      </c>
      <c r="B138" s="7">
        <v>45646</v>
      </c>
      <c r="C138" s="9">
        <f>HYPERLINK("https://eping.wto.org/en/Search?viewData= G/TBT/N/CHN/1955"," G/TBT/N/CHN/1955")</f>
      </c>
      <c r="D138" s="8" t="s">
        <v>621</v>
      </c>
      <c r="E138" s="8" t="s">
        <v>622</v>
      </c>
      <c r="F138" s="8" t="s">
        <v>623</v>
      </c>
      <c r="G138" s="8" t="s">
        <v>624</v>
      </c>
      <c r="H138" s="8" t="s">
        <v>625</v>
      </c>
      <c r="I138" s="8" t="s">
        <v>527</v>
      </c>
      <c r="J138" s="8" t="s">
        <v>22</v>
      </c>
      <c r="K138" s="6"/>
      <c r="L138" s="7">
        <v>45706</v>
      </c>
      <c r="M138" s="6" t="s">
        <v>32</v>
      </c>
      <c r="N138" s="8" t="s">
        <v>626</v>
      </c>
      <c r="O138" s="6">
        <f>HYPERLINK("https://docs.wto.org/imrd/directdoc.asp?DDFDocuments/t/G/TBTN24/CHN1955.DOCX", "https://docs.wto.org/imrd/directdoc.asp?DDFDocuments/t/G/TBTN24/CHN1955.DOCX")</f>
      </c>
      <c r="P138" s="6">
        <f>HYPERLINK("https://docs.wto.org/imrd/directdoc.asp?DDFDocuments/u/G/TBTN24/CHN1955.DOCX", "https://docs.wto.org/imrd/directdoc.asp?DDFDocuments/u/G/TBTN24/CHN1955.DOCX")</f>
      </c>
      <c r="Q138" s="6">
        <f>HYPERLINK("https://docs.wto.org/imrd/directdoc.asp?DDFDocuments/v/G/TBTN24/CHN1955.DOCX", "https://docs.wto.org/imrd/directdoc.asp?DDFDocuments/v/G/TBTN24/CHN1955.DOCX")</f>
      </c>
    </row>
    <row r="139">
      <c r="A139" s="6" t="s">
        <v>400</v>
      </c>
      <c r="B139" s="7">
        <v>45645</v>
      </c>
      <c r="C139" s="9">
        <f>HYPERLINK("https://eping.wto.org/en/Search?viewData= G/TBT/N/USA/1881/Add.1"," G/TBT/N/USA/1881/Add.1")</f>
      </c>
      <c r="D139" s="8" t="s">
        <v>627</v>
      </c>
      <c r="E139" s="8" t="s">
        <v>628</v>
      </c>
      <c r="F139" s="8" t="s">
        <v>629</v>
      </c>
      <c r="G139" s="8" t="s">
        <v>22</v>
      </c>
      <c r="H139" s="8" t="s">
        <v>630</v>
      </c>
      <c r="I139" s="8" t="s">
        <v>39</v>
      </c>
      <c r="J139" s="8" t="s">
        <v>22</v>
      </c>
      <c r="K139" s="6"/>
      <c r="L139" s="7" t="s">
        <v>22</v>
      </c>
      <c r="M139" s="6" t="s">
        <v>40</v>
      </c>
      <c r="N139" s="8" t="s">
        <v>631</v>
      </c>
      <c r="O139" s="6">
        <f>HYPERLINK("https://docs.wto.org/imrd/directdoc.asp?DDFDocuments/t/G/TBTN22/USA1881A1.DOCX", "https://docs.wto.org/imrd/directdoc.asp?DDFDocuments/t/G/TBTN22/USA1881A1.DOCX")</f>
      </c>
      <c r="P139" s="6">
        <f>HYPERLINK("https://docs.wto.org/imrd/directdoc.asp?DDFDocuments/u/G/TBTN22/USA1881A1.DOCX", "https://docs.wto.org/imrd/directdoc.asp?DDFDocuments/u/G/TBTN22/USA1881A1.DOCX")</f>
      </c>
      <c r="Q139" s="6">
        <f>HYPERLINK("https://docs.wto.org/imrd/directdoc.asp?DDFDocuments/v/G/TBTN22/USA1881A1.DOCX", "https://docs.wto.org/imrd/directdoc.asp?DDFDocuments/v/G/TBTN22/USA1881A1.DOCX")</f>
      </c>
    </row>
    <row r="140">
      <c r="A140" s="6" t="s">
        <v>400</v>
      </c>
      <c r="B140" s="7">
        <v>45645</v>
      </c>
      <c r="C140" s="9">
        <f>HYPERLINK("https://eping.wto.org/en/Search?viewData= G/TBT/N/USA/2133/Add.1"," G/TBT/N/USA/2133/Add.1")</f>
      </c>
      <c r="D140" s="8" t="s">
        <v>632</v>
      </c>
      <c r="E140" s="8" t="s">
        <v>633</v>
      </c>
      <c r="F140" s="8" t="s">
        <v>634</v>
      </c>
      <c r="G140" s="8" t="s">
        <v>22</v>
      </c>
      <c r="H140" s="8" t="s">
        <v>635</v>
      </c>
      <c r="I140" s="8" t="s">
        <v>292</v>
      </c>
      <c r="J140" s="8" t="s">
        <v>22</v>
      </c>
      <c r="K140" s="6"/>
      <c r="L140" s="7" t="s">
        <v>22</v>
      </c>
      <c r="M140" s="6" t="s">
        <v>40</v>
      </c>
      <c r="N140" s="8" t="s">
        <v>636</v>
      </c>
      <c r="O140" s="6">
        <f>HYPERLINK("https://docs.wto.org/imrd/directdoc.asp?DDFDocuments/t/G/TBTN24/USA2133A1.DOCX", "https://docs.wto.org/imrd/directdoc.asp?DDFDocuments/t/G/TBTN24/USA2133A1.DOCX")</f>
      </c>
      <c r="P140" s="6">
        <f>HYPERLINK("https://docs.wto.org/imrd/directdoc.asp?DDFDocuments/u/G/TBTN24/USA2133A1.DOCX", "https://docs.wto.org/imrd/directdoc.asp?DDFDocuments/u/G/TBTN24/USA2133A1.DOCX")</f>
      </c>
      <c r="Q140" s="6">
        <f>HYPERLINK("https://docs.wto.org/imrd/directdoc.asp?DDFDocuments/v/G/TBTN24/USA2133A1.DOCX", "https://docs.wto.org/imrd/directdoc.asp?DDFDocuments/v/G/TBTN24/USA2133A1.DOCX")</f>
      </c>
    </row>
    <row r="141">
      <c r="A141" s="6" t="s">
        <v>400</v>
      </c>
      <c r="B141" s="7">
        <v>45645</v>
      </c>
      <c r="C141" s="9">
        <f>HYPERLINK("https://eping.wto.org/en/Search?viewData= G/TBT/N/USA/2008/Add.1"," G/TBT/N/USA/2008/Add.1")</f>
      </c>
      <c r="D141" s="8" t="s">
        <v>637</v>
      </c>
      <c r="E141" s="8" t="s">
        <v>638</v>
      </c>
      <c r="F141" s="8" t="s">
        <v>639</v>
      </c>
      <c r="G141" s="8" t="s">
        <v>22</v>
      </c>
      <c r="H141" s="8" t="s">
        <v>640</v>
      </c>
      <c r="I141" s="8" t="s">
        <v>641</v>
      </c>
      <c r="J141" s="8" t="s">
        <v>266</v>
      </c>
      <c r="K141" s="6"/>
      <c r="L141" s="7" t="s">
        <v>22</v>
      </c>
      <c r="M141" s="6" t="s">
        <v>40</v>
      </c>
      <c r="N141" s="8" t="s">
        <v>642</v>
      </c>
      <c r="O141" s="6">
        <f>HYPERLINK("https://docs.wto.org/imrd/directdoc.asp?DDFDocuments/t/G/TBTN23/USA2008A1.DOCX", "https://docs.wto.org/imrd/directdoc.asp?DDFDocuments/t/G/TBTN23/USA2008A1.DOCX")</f>
      </c>
      <c r="P141" s="6">
        <f>HYPERLINK("https://docs.wto.org/imrd/directdoc.asp?DDFDocuments/u/G/TBTN23/USA2008A1.DOCX", "https://docs.wto.org/imrd/directdoc.asp?DDFDocuments/u/G/TBTN23/USA2008A1.DOCX")</f>
      </c>
      <c r="Q141" s="6">
        <f>HYPERLINK("https://docs.wto.org/imrd/directdoc.asp?DDFDocuments/v/G/TBTN23/USA2008A1.DOCX", "https://docs.wto.org/imrd/directdoc.asp?DDFDocuments/v/G/TBTN23/USA2008A1.DOCX")</f>
      </c>
    </row>
    <row r="142">
      <c r="A142" s="6" t="s">
        <v>400</v>
      </c>
      <c r="B142" s="7">
        <v>45645</v>
      </c>
      <c r="C142" s="9">
        <f>HYPERLINK("https://eping.wto.org/en/Search?viewData= G/TBT/N/USA/2133/Add.2"," G/TBT/N/USA/2133/Add.2")</f>
      </c>
      <c r="D142" s="8" t="s">
        <v>643</v>
      </c>
      <c r="E142" s="8" t="s">
        <v>644</v>
      </c>
      <c r="F142" s="8" t="s">
        <v>634</v>
      </c>
      <c r="G142" s="8" t="s">
        <v>22</v>
      </c>
      <c r="H142" s="8" t="s">
        <v>635</v>
      </c>
      <c r="I142" s="8" t="s">
        <v>292</v>
      </c>
      <c r="J142" s="8" t="s">
        <v>22</v>
      </c>
      <c r="K142" s="6"/>
      <c r="L142" s="7">
        <v>45734</v>
      </c>
      <c r="M142" s="6" t="s">
        <v>40</v>
      </c>
      <c r="N142" s="8" t="s">
        <v>645</v>
      </c>
      <c r="O142" s="6">
        <f>HYPERLINK("https://docs.wto.org/imrd/directdoc.asp?DDFDocuments/t/G/TBTN24/USA2133A2.DOCX", "https://docs.wto.org/imrd/directdoc.asp?DDFDocuments/t/G/TBTN24/USA2133A2.DOCX")</f>
      </c>
      <c r="P142" s="6">
        <f>HYPERLINK("https://docs.wto.org/imrd/directdoc.asp?DDFDocuments/u/G/TBTN24/USA2133A2.DOCX", "https://docs.wto.org/imrd/directdoc.asp?DDFDocuments/u/G/TBTN24/USA2133A2.DOCX")</f>
      </c>
      <c r="Q142" s="6">
        <f>HYPERLINK("https://docs.wto.org/imrd/directdoc.asp?DDFDocuments/v/G/TBTN24/USA2133A2.DOCX", "https://docs.wto.org/imrd/directdoc.asp?DDFDocuments/v/G/TBTN24/USA2133A2.DOCX")</f>
      </c>
    </row>
    <row r="143">
      <c r="A143" s="6" t="s">
        <v>646</v>
      </c>
      <c r="B143" s="7">
        <v>45645</v>
      </c>
      <c r="C143" s="9">
        <f>HYPERLINK("https://eping.wto.org/en/Search?viewData= G/SPS/N/COL/357/Add.1"," G/SPS/N/COL/357/Add.1")</f>
      </c>
      <c r="D143" s="8" t="s">
        <v>647</v>
      </c>
      <c r="E143" s="8" t="s">
        <v>647</v>
      </c>
      <c r="F143" s="8" t="s">
        <v>648</v>
      </c>
      <c r="G143" s="8" t="s">
        <v>649</v>
      </c>
      <c r="H143" s="8" t="s">
        <v>22</v>
      </c>
      <c r="I143" s="8" t="s">
        <v>128</v>
      </c>
      <c r="J143" s="8" t="s">
        <v>650</v>
      </c>
      <c r="K143" s="6"/>
      <c r="L143" s="7" t="s">
        <v>22</v>
      </c>
      <c r="M143" s="6" t="s">
        <v>40</v>
      </c>
      <c r="N143" s="8" t="s">
        <v>651</v>
      </c>
      <c r="O143" s="6">
        <f>HYPERLINK("https://docs.wto.org/imrd/directdoc.asp?DDFDocuments/t/G/SPS/NCOL357A1.DOCX", "https://docs.wto.org/imrd/directdoc.asp?DDFDocuments/t/G/SPS/NCOL357A1.DOCX")</f>
      </c>
      <c r="P143" s="6">
        <f>HYPERLINK("https://docs.wto.org/imrd/directdoc.asp?DDFDocuments/u/G/SPS/NCOL357A1.DOCX", "https://docs.wto.org/imrd/directdoc.asp?DDFDocuments/u/G/SPS/NCOL357A1.DOCX")</f>
      </c>
      <c r="Q143" s="6">
        <f>HYPERLINK("https://docs.wto.org/imrd/directdoc.asp?DDFDocuments/v/G/SPS/NCOL357A1.DOCX", "https://docs.wto.org/imrd/directdoc.asp?DDFDocuments/v/G/SPS/NCOL357A1.DOCX")</f>
      </c>
    </row>
    <row r="144">
      <c r="A144" s="6" t="s">
        <v>299</v>
      </c>
      <c r="B144" s="7">
        <v>45645</v>
      </c>
      <c r="C144" s="9">
        <f>HYPERLINK("https://eping.wto.org/en/Search?viewData= G/SPS/N/NZL/779"," G/SPS/N/NZL/779")</f>
      </c>
      <c r="D144" s="8" t="s">
        <v>652</v>
      </c>
      <c r="E144" s="8" t="s">
        <v>653</v>
      </c>
      <c r="F144" s="8" t="s">
        <v>654</v>
      </c>
      <c r="G144" s="8" t="s">
        <v>22</v>
      </c>
      <c r="H144" s="8" t="s">
        <v>22</v>
      </c>
      <c r="I144" s="8" t="s">
        <v>128</v>
      </c>
      <c r="J144" s="8" t="s">
        <v>129</v>
      </c>
      <c r="K144" s="6"/>
      <c r="L144" s="7">
        <v>45708</v>
      </c>
      <c r="M144" s="6" t="s">
        <v>32</v>
      </c>
      <c r="N144" s="8" t="s">
        <v>655</v>
      </c>
      <c r="O144" s="6">
        <f>HYPERLINK("https://docs.wto.org/imrd/directdoc.asp?DDFDocuments/t/G/SPS/NNZL779.DOCX", "https://docs.wto.org/imrd/directdoc.asp?DDFDocuments/t/G/SPS/NNZL779.DOCX")</f>
      </c>
      <c r="P144" s="6">
        <f>HYPERLINK("https://docs.wto.org/imrd/directdoc.asp?DDFDocuments/u/G/SPS/NNZL779.DOCX", "https://docs.wto.org/imrd/directdoc.asp?DDFDocuments/u/G/SPS/NNZL779.DOCX")</f>
      </c>
      <c r="Q144" s="6">
        <f>HYPERLINK("https://docs.wto.org/imrd/directdoc.asp?DDFDocuments/v/G/SPS/NNZL779.DOCX", "https://docs.wto.org/imrd/directdoc.asp?DDFDocuments/v/G/SPS/NNZL779.DOCX")</f>
      </c>
    </row>
    <row r="145">
      <c r="A145" s="6" t="s">
        <v>646</v>
      </c>
      <c r="B145" s="7">
        <v>45645</v>
      </c>
      <c r="C145" s="9">
        <f>HYPERLINK("https://eping.wto.org/en/Search?viewData= G/SPS/N/COL/366/Add.1"," G/SPS/N/COL/366/Add.1")</f>
      </c>
      <c r="D145" s="8" t="s">
        <v>656</v>
      </c>
      <c r="E145" s="8" t="s">
        <v>656</v>
      </c>
      <c r="F145" s="8" t="s">
        <v>657</v>
      </c>
      <c r="G145" s="8" t="s">
        <v>658</v>
      </c>
      <c r="H145" s="8" t="s">
        <v>22</v>
      </c>
      <c r="I145" s="8" t="s">
        <v>390</v>
      </c>
      <c r="J145" s="8" t="s">
        <v>659</v>
      </c>
      <c r="K145" s="6"/>
      <c r="L145" s="7" t="s">
        <v>22</v>
      </c>
      <c r="M145" s="6" t="s">
        <v>40</v>
      </c>
      <c r="N145" s="8" t="s">
        <v>660</v>
      </c>
      <c r="O145" s="6">
        <f>HYPERLINK("https://docs.wto.org/imrd/directdoc.asp?DDFDocuments/t/G/SPS/NCOL366A1.DOCX", "https://docs.wto.org/imrd/directdoc.asp?DDFDocuments/t/G/SPS/NCOL366A1.DOCX")</f>
      </c>
      <c r="P145" s="6">
        <f>HYPERLINK("https://docs.wto.org/imrd/directdoc.asp?DDFDocuments/u/G/SPS/NCOL366A1.DOCX", "https://docs.wto.org/imrd/directdoc.asp?DDFDocuments/u/G/SPS/NCOL366A1.DOCX")</f>
      </c>
      <c r="Q145" s="6">
        <f>HYPERLINK("https://docs.wto.org/imrd/directdoc.asp?DDFDocuments/v/G/SPS/NCOL366A1.DOCX", "https://docs.wto.org/imrd/directdoc.asp?DDFDocuments/v/G/SPS/NCOL366A1.DOCX")</f>
      </c>
    </row>
    <row r="146">
      <c r="A146" s="6" t="s">
        <v>400</v>
      </c>
      <c r="B146" s="7">
        <v>45645</v>
      </c>
      <c r="C146" s="9">
        <f>HYPERLINK("https://eping.wto.org/en/Search?viewData= G/TBT/N/USA/1905/Add.1"," G/TBT/N/USA/1905/Add.1")</f>
      </c>
      <c r="D146" s="8" t="s">
        <v>661</v>
      </c>
      <c r="E146" s="8" t="s">
        <v>662</v>
      </c>
      <c r="F146" s="8" t="s">
        <v>663</v>
      </c>
      <c r="G146" s="8" t="s">
        <v>664</v>
      </c>
      <c r="H146" s="8" t="s">
        <v>665</v>
      </c>
      <c r="I146" s="8" t="s">
        <v>380</v>
      </c>
      <c r="J146" s="8" t="s">
        <v>81</v>
      </c>
      <c r="K146" s="6"/>
      <c r="L146" s="7" t="s">
        <v>22</v>
      </c>
      <c r="M146" s="6" t="s">
        <v>40</v>
      </c>
      <c r="N146" s="8" t="s">
        <v>666</v>
      </c>
      <c r="O146" s="6">
        <f>HYPERLINK("https://docs.wto.org/imrd/directdoc.asp?DDFDocuments/t/G/TBTN22/USA1905A1.DOCX", "https://docs.wto.org/imrd/directdoc.asp?DDFDocuments/t/G/TBTN22/USA1905A1.DOCX")</f>
      </c>
      <c r="P146" s="6">
        <f>HYPERLINK("https://docs.wto.org/imrd/directdoc.asp?DDFDocuments/u/G/TBTN22/USA1905A1.DOCX", "https://docs.wto.org/imrd/directdoc.asp?DDFDocuments/u/G/TBTN22/USA1905A1.DOCX")</f>
      </c>
      <c r="Q146" s="6">
        <f>HYPERLINK("https://docs.wto.org/imrd/directdoc.asp?DDFDocuments/v/G/TBTN22/USA1905A1.DOCX", "https://docs.wto.org/imrd/directdoc.asp?DDFDocuments/v/G/TBTN22/USA1905A1.DOCX")</f>
      </c>
    </row>
    <row r="147">
      <c r="A147" s="6" t="s">
        <v>400</v>
      </c>
      <c r="B147" s="7">
        <v>45645</v>
      </c>
      <c r="C147" s="9">
        <f>HYPERLINK("https://eping.wto.org/en/Search?viewData= G/TBT/N/USA/2024/Add.1"," G/TBT/N/USA/2024/Add.1")</f>
      </c>
      <c r="D147" s="8" t="s">
        <v>667</v>
      </c>
      <c r="E147" s="8" t="s">
        <v>668</v>
      </c>
      <c r="F147" s="8" t="s">
        <v>669</v>
      </c>
      <c r="G147" s="8" t="s">
        <v>22</v>
      </c>
      <c r="H147" s="8" t="s">
        <v>635</v>
      </c>
      <c r="I147" s="8" t="s">
        <v>292</v>
      </c>
      <c r="J147" s="8" t="s">
        <v>670</v>
      </c>
      <c r="K147" s="6"/>
      <c r="L147" s="7" t="s">
        <v>22</v>
      </c>
      <c r="M147" s="6" t="s">
        <v>40</v>
      </c>
      <c r="N147" s="8" t="s">
        <v>671</v>
      </c>
      <c r="O147" s="6">
        <f>HYPERLINK("https://docs.wto.org/imrd/directdoc.asp?DDFDocuments/t/G/TBTN23/USA2024A1.DOCX", "https://docs.wto.org/imrd/directdoc.asp?DDFDocuments/t/G/TBTN23/USA2024A1.DOCX")</f>
      </c>
      <c r="P147" s="6">
        <f>HYPERLINK("https://docs.wto.org/imrd/directdoc.asp?DDFDocuments/u/G/TBTN23/USA2024A1.DOCX", "https://docs.wto.org/imrd/directdoc.asp?DDFDocuments/u/G/TBTN23/USA2024A1.DOCX")</f>
      </c>
      <c r="Q147" s="6">
        <f>HYPERLINK("https://docs.wto.org/imrd/directdoc.asp?DDFDocuments/v/G/TBTN23/USA2024A1.DOCX", "https://docs.wto.org/imrd/directdoc.asp?DDFDocuments/v/G/TBTN23/USA2024A1.DOCX")</f>
      </c>
    </row>
    <row r="148">
      <c r="A148" s="6" t="s">
        <v>646</v>
      </c>
      <c r="B148" s="7">
        <v>45645</v>
      </c>
      <c r="C148" s="9">
        <f>HYPERLINK("https://eping.wto.org/en/Search?viewData= G/SPS/N/COL/373"," G/SPS/N/COL/373")</f>
      </c>
      <c r="D148" s="8" t="s">
        <v>672</v>
      </c>
      <c r="E148" s="8" t="s">
        <v>673</v>
      </c>
      <c r="F148" s="8" t="s">
        <v>674</v>
      </c>
      <c r="G148" s="8" t="s">
        <v>675</v>
      </c>
      <c r="H148" s="8" t="s">
        <v>22</v>
      </c>
      <c r="I148" s="8" t="s">
        <v>348</v>
      </c>
      <c r="J148" s="8" t="s">
        <v>676</v>
      </c>
      <c r="K148" s="6" t="s">
        <v>677</v>
      </c>
      <c r="L148" s="7">
        <v>45705</v>
      </c>
      <c r="M148" s="6" t="s">
        <v>32</v>
      </c>
      <c r="N148" s="8" t="s">
        <v>678</v>
      </c>
      <c r="O148" s="6">
        <f>HYPERLINK("https://docs.wto.org/imrd/directdoc.asp?DDFDocuments/t/G/SPS/NCOL373.DOCX", "https://docs.wto.org/imrd/directdoc.asp?DDFDocuments/t/G/SPS/NCOL373.DOCX")</f>
      </c>
      <c r="P148" s="6">
        <f>HYPERLINK("https://docs.wto.org/imrd/directdoc.asp?DDFDocuments/u/G/SPS/NCOL373.DOCX", "https://docs.wto.org/imrd/directdoc.asp?DDFDocuments/u/G/SPS/NCOL373.DOCX")</f>
      </c>
      <c r="Q148" s="6">
        <f>HYPERLINK("https://docs.wto.org/imrd/directdoc.asp?DDFDocuments/v/G/SPS/NCOL373.DOCX", "https://docs.wto.org/imrd/directdoc.asp?DDFDocuments/v/G/SPS/NCOL373.DOCX")</f>
      </c>
    </row>
    <row r="149">
      <c r="A149" s="6" t="s">
        <v>130</v>
      </c>
      <c r="B149" s="7">
        <v>45645</v>
      </c>
      <c r="C149" s="9">
        <f>HYPERLINK("https://eping.wto.org/en/Search?viewData= G/SPS/N/ARG/270"," G/SPS/N/ARG/270")</f>
      </c>
      <c r="D149" s="8" t="s">
        <v>679</v>
      </c>
      <c r="E149" s="8" t="s">
        <v>680</v>
      </c>
      <c r="F149" s="8" t="s">
        <v>681</v>
      </c>
      <c r="G149" s="8" t="s">
        <v>682</v>
      </c>
      <c r="H149" s="8" t="s">
        <v>22</v>
      </c>
      <c r="I149" s="8" t="s">
        <v>128</v>
      </c>
      <c r="J149" s="8" t="s">
        <v>129</v>
      </c>
      <c r="K149" s="6" t="s">
        <v>104</v>
      </c>
      <c r="L149" s="7" t="s">
        <v>22</v>
      </c>
      <c r="M149" s="6" t="s">
        <v>32</v>
      </c>
      <c r="N149" s="8" t="s">
        <v>683</v>
      </c>
      <c r="O149" s="6">
        <f>HYPERLINK("https://docs.wto.org/imrd/directdoc.asp?DDFDocuments/t/G/SPS/NARG270.DOCX", "https://docs.wto.org/imrd/directdoc.asp?DDFDocuments/t/G/SPS/NARG270.DOCX")</f>
      </c>
      <c r="P149" s="6">
        <f>HYPERLINK("https://docs.wto.org/imrd/directdoc.asp?DDFDocuments/u/G/SPS/NARG270.DOCX", "https://docs.wto.org/imrd/directdoc.asp?DDFDocuments/u/G/SPS/NARG270.DOCX")</f>
      </c>
      <c r="Q149" s="6">
        <f>HYPERLINK("https://docs.wto.org/imrd/directdoc.asp?DDFDocuments/v/G/SPS/NARG270.DOCX", "https://docs.wto.org/imrd/directdoc.asp?DDFDocuments/v/G/SPS/NARG270.DOCX")</f>
      </c>
    </row>
    <row r="150">
      <c r="A150" s="6" t="s">
        <v>646</v>
      </c>
      <c r="B150" s="7">
        <v>45645</v>
      </c>
      <c r="C150" s="9">
        <f>HYPERLINK("https://eping.wto.org/en/Search?viewData= G/SPS/N/COL/365/Add.1"," G/SPS/N/COL/365/Add.1")</f>
      </c>
      <c r="D150" s="8" t="s">
        <v>684</v>
      </c>
      <c r="E150" s="8" t="s">
        <v>684</v>
      </c>
      <c r="F150" s="8" t="s">
        <v>685</v>
      </c>
      <c r="G150" s="8" t="s">
        <v>686</v>
      </c>
      <c r="H150" s="8" t="s">
        <v>22</v>
      </c>
      <c r="I150" s="8" t="s">
        <v>390</v>
      </c>
      <c r="J150" s="8" t="s">
        <v>659</v>
      </c>
      <c r="K150" s="6"/>
      <c r="L150" s="7" t="s">
        <v>22</v>
      </c>
      <c r="M150" s="6" t="s">
        <v>40</v>
      </c>
      <c r="N150" s="8" t="s">
        <v>687</v>
      </c>
      <c r="O150" s="6">
        <f>HYPERLINK("https://docs.wto.org/imrd/directdoc.asp?DDFDocuments/t/G/SPS/NCOL365A1.DOCX", "https://docs.wto.org/imrd/directdoc.asp?DDFDocuments/t/G/SPS/NCOL365A1.DOCX")</f>
      </c>
      <c r="P150" s="6">
        <f>HYPERLINK("https://docs.wto.org/imrd/directdoc.asp?DDFDocuments/u/G/SPS/NCOL365A1.DOCX", "https://docs.wto.org/imrd/directdoc.asp?DDFDocuments/u/G/SPS/NCOL365A1.DOCX")</f>
      </c>
      <c r="Q150" s="6">
        <f>HYPERLINK("https://docs.wto.org/imrd/directdoc.asp?DDFDocuments/v/G/SPS/NCOL365A1.DOCX", "https://docs.wto.org/imrd/directdoc.asp?DDFDocuments/v/G/SPS/NCOL365A1.DOCX")</f>
      </c>
    </row>
    <row r="151">
      <c r="A151" s="6" t="s">
        <v>646</v>
      </c>
      <c r="B151" s="7">
        <v>45645</v>
      </c>
      <c r="C151" s="9">
        <f>HYPERLINK("https://eping.wto.org/en/Search?viewData= G/SPS/N/COL/363/Add.1"," G/SPS/N/COL/363/Add.1")</f>
      </c>
      <c r="D151" s="8" t="s">
        <v>688</v>
      </c>
      <c r="E151" s="8" t="s">
        <v>688</v>
      </c>
      <c r="F151" s="8" t="s">
        <v>689</v>
      </c>
      <c r="G151" s="8" t="s">
        <v>686</v>
      </c>
      <c r="H151" s="8" t="s">
        <v>22</v>
      </c>
      <c r="I151" s="8" t="s">
        <v>390</v>
      </c>
      <c r="J151" s="8" t="s">
        <v>690</v>
      </c>
      <c r="K151" s="6"/>
      <c r="L151" s="7" t="s">
        <v>22</v>
      </c>
      <c r="M151" s="6" t="s">
        <v>40</v>
      </c>
      <c r="N151" s="8" t="s">
        <v>691</v>
      </c>
      <c r="O151" s="6">
        <f>HYPERLINK("https://docs.wto.org/imrd/directdoc.asp?DDFDocuments/t/G/SPS/NCOL363A1.DOCX", "https://docs.wto.org/imrd/directdoc.asp?DDFDocuments/t/G/SPS/NCOL363A1.DOCX")</f>
      </c>
      <c r="P151" s="6">
        <f>HYPERLINK("https://docs.wto.org/imrd/directdoc.asp?DDFDocuments/u/G/SPS/NCOL363A1.DOCX", "https://docs.wto.org/imrd/directdoc.asp?DDFDocuments/u/G/SPS/NCOL363A1.DOCX")</f>
      </c>
      <c r="Q151" s="6">
        <f>HYPERLINK("https://docs.wto.org/imrd/directdoc.asp?DDFDocuments/v/G/SPS/NCOL363A1.DOCX", "https://docs.wto.org/imrd/directdoc.asp?DDFDocuments/v/G/SPS/NCOL363A1.DOCX")</f>
      </c>
    </row>
    <row r="152">
      <c r="A152" s="6" t="s">
        <v>360</v>
      </c>
      <c r="B152" s="7">
        <v>45645</v>
      </c>
      <c r="C152" s="9">
        <f>HYPERLINK("https://eping.wto.org/en/Search?viewData= G/SPS/N/CHL/813"," G/SPS/N/CHL/813")</f>
      </c>
      <c r="D152" s="8" t="s">
        <v>692</v>
      </c>
      <c r="E152" s="8" t="s">
        <v>693</v>
      </c>
      <c r="F152" s="8" t="s">
        <v>694</v>
      </c>
      <c r="G152" s="8" t="s">
        <v>22</v>
      </c>
      <c r="H152" s="8" t="s">
        <v>22</v>
      </c>
      <c r="I152" s="8" t="s">
        <v>390</v>
      </c>
      <c r="J152" s="8" t="s">
        <v>391</v>
      </c>
      <c r="K152" s="6" t="s">
        <v>22</v>
      </c>
      <c r="L152" s="7">
        <v>45705</v>
      </c>
      <c r="M152" s="6" t="s">
        <v>32</v>
      </c>
      <c r="N152" s="8" t="s">
        <v>695</v>
      </c>
      <c r="O152" s="6">
        <f>HYPERLINK("https://docs.wto.org/imrd/directdoc.asp?DDFDocuments/t/G/SPS/NCHL813.DOCX", "https://docs.wto.org/imrd/directdoc.asp?DDFDocuments/t/G/SPS/NCHL813.DOCX")</f>
      </c>
      <c r="P152" s="6">
        <f>HYPERLINK("https://docs.wto.org/imrd/directdoc.asp?DDFDocuments/u/G/SPS/NCHL813.DOCX", "https://docs.wto.org/imrd/directdoc.asp?DDFDocuments/u/G/SPS/NCHL813.DOCX")</f>
      </c>
      <c r="Q152" s="6">
        <f>HYPERLINK("https://docs.wto.org/imrd/directdoc.asp?DDFDocuments/v/G/SPS/NCHL813.DOCX", "https://docs.wto.org/imrd/directdoc.asp?DDFDocuments/v/G/SPS/NCHL813.DOCX")</f>
      </c>
    </row>
    <row r="153">
      <c r="A153" s="6" t="s">
        <v>496</v>
      </c>
      <c r="B153" s="7">
        <v>45645</v>
      </c>
      <c r="C153" s="9">
        <f>HYPERLINK("https://eping.wto.org/en/Search?viewData= G/TBT/N/GBR/95"," G/TBT/N/GBR/95")</f>
      </c>
      <c r="D153" s="8" t="s">
        <v>696</v>
      </c>
      <c r="E153" s="8" t="s">
        <v>697</v>
      </c>
      <c r="F153" s="8" t="s">
        <v>698</v>
      </c>
      <c r="G153" s="8" t="s">
        <v>699</v>
      </c>
      <c r="H153" s="8" t="s">
        <v>700</v>
      </c>
      <c r="I153" s="8" t="s">
        <v>701</v>
      </c>
      <c r="J153" s="8" t="s">
        <v>22</v>
      </c>
      <c r="K153" s="6"/>
      <c r="L153" s="7">
        <v>45741</v>
      </c>
      <c r="M153" s="6" t="s">
        <v>32</v>
      </c>
      <c r="N153" s="8" t="s">
        <v>702</v>
      </c>
      <c r="O153" s="6">
        <f>HYPERLINK("https://docs.wto.org/imrd/directdoc.asp?DDFDocuments/t/G/TBTN24/GBR95.DOCX", "https://docs.wto.org/imrd/directdoc.asp?DDFDocuments/t/G/TBTN24/GBR95.DOCX")</f>
      </c>
      <c r="P153" s="6">
        <f>HYPERLINK("https://docs.wto.org/imrd/directdoc.asp?DDFDocuments/u/G/TBTN24/GBR95.DOCX", "https://docs.wto.org/imrd/directdoc.asp?DDFDocuments/u/G/TBTN24/GBR95.DOCX")</f>
      </c>
      <c r="Q153" s="6">
        <f>HYPERLINK("https://docs.wto.org/imrd/directdoc.asp?DDFDocuments/v/G/TBTN24/GBR95.DOCX", "https://docs.wto.org/imrd/directdoc.asp?DDFDocuments/v/G/TBTN24/GBR95.DOCX")</f>
      </c>
    </row>
    <row r="154">
      <c r="A154" s="6" t="s">
        <v>496</v>
      </c>
      <c r="B154" s="7">
        <v>45645</v>
      </c>
      <c r="C154" s="9">
        <f>HYPERLINK("https://eping.wto.org/en/Search?viewData= G/SPS/N/GBR/79"," G/SPS/N/GBR/79")</f>
      </c>
      <c r="D154" s="8" t="s">
        <v>703</v>
      </c>
      <c r="E154" s="8" t="s">
        <v>704</v>
      </c>
      <c r="F154" s="8" t="s">
        <v>705</v>
      </c>
      <c r="G154" s="8" t="s">
        <v>22</v>
      </c>
      <c r="H154" s="8" t="s">
        <v>22</v>
      </c>
      <c r="I154" s="8" t="s">
        <v>706</v>
      </c>
      <c r="J154" s="8" t="s">
        <v>707</v>
      </c>
      <c r="K154" s="6" t="s">
        <v>22</v>
      </c>
      <c r="L154" s="7">
        <v>45705</v>
      </c>
      <c r="M154" s="6" t="s">
        <v>32</v>
      </c>
      <c r="N154" s="8" t="s">
        <v>708</v>
      </c>
      <c r="O154" s="6">
        <f>HYPERLINK("https://docs.wto.org/imrd/directdoc.asp?DDFDocuments/t/G/SPS/NGBR79.DOCX", "https://docs.wto.org/imrd/directdoc.asp?DDFDocuments/t/G/SPS/NGBR79.DOCX")</f>
      </c>
      <c r="P154" s="6">
        <f>HYPERLINK("https://docs.wto.org/imrd/directdoc.asp?DDFDocuments/u/G/SPS/NGBR79.DOCX", "https://docs.wto.org/imrd/directdoc.asp?DDFDocuments/u/G/SPS/NGBR79.DOCX")</f>
      </c>
      <c r="Q154" s="6">
        <f>HYPERLINK("https://docs.wto.org/imrd/directdoc.asp?DDFDocuments/v/G/SPS/NGBR79.DOCX", "https://docs.wto.org/imrd/directdoc.asp?DDFDocuments/v/G/SPS/NGBR79.DOCX")</f>
      </c>
    </row>
    <row r="155">
      <c r="A155" s="6" t="s">
        <v>418</v>
      </c>
      <c r="B155" s="7">
        <v>45645</v>
      </c>
      <c r="C155" s="9">
        <f>HYPERLINK("https://eping.wto.org/en/Search?viewData= G/SPS/N/EU/804"," G/SPS/N/EU/804")</f>
      </c>
      <c r="D155" s="8" t="s">
        <v>709</v>
      </c>
      <c r="E155" s="8" t="s">
        <v>710</v>
      </c>
      <c r="F155" s="8" t="s">
        <v>711</v>
      </c>
      <c r="G155" s="8" t="s">
        <v>22</v>
      </c>
      <c r="H155" s="8" t="s">
        <v>22</v>
      </c>
      <c r="I155" s="8" t="s">
        <v>120</v>
      </c>
      <c r="J155" s="8" t="s">
        <v>416</v>
      </c>
      <c r="K155" s="6"/>
      <c r="L155" s="7" t="s">
        <v>22</v>
      </c>
      <c r="M155" s="6" t="s">
        <v>32</v>
      </c>
      <c r="N155" s="8" t="s">
        <v>712</v>
      </c>
      <c r="O155" s="6">
        <f>HYPERLINK("https://docs.wto.org/imrd/directdoc.asp?DDFDocuments/t/G/SPS/NEU804.DOCX", "https://docs.wto.org/imrd/directdoc.asp?DDFDocuments/t/G/SPS/NEU804.DOCX")</f>
      </c>
      <c r="P155" s="6">
        <f>HYPERLINK("https://docs.wto.org/imrd/directdoc.asp?DDFDocuments/u/G/SPS/NEU804.DOCX", "https://docs.wto.org/imrd/directdoc.asp?DDFDocuments/u/G/SPS/NEU804.DOCX")</f>
      </c>
      <c r="Q155" s="6">
        <f>HYPERLINK("https://docs.wto.org/imrd/directdoc.asp?DDFDocuments/v/G/SPS/NEU804.DOCX", "https://docs.wto.org/imrd/directdoc.asp?DDFDocuments/v/G/SPS/NEU804.DOCX")</f>
      </c>
    </row>
    <row r="156">
      <c r="A156" s="6" t="s">
        <v>400</v>
      </c>
      <c r="B156" s="7">
        <v>45645</v>
      </c>
      <c r="C156" s="9">
        <f>HYPERLINK("https://eping.wto.org/en/Search?viewData= G/TBT/N/USA/2005/Add.2"," G/TBT/N/USA/2005/Add.2")</f>
      </c>
      <c r="D156" s="8" t="s">
        <v>713</v>
      </c>
      <c r="E156" s="8" t="s">
        <v>714</v>
      </c>
      <c r="F156" s="8" t="s">
        <v>715</v>
      </c>
      <c r="G156" s="8" t="s">
        <v>22</v>
      </c>
      <c r="H156" s="8" t="s">
        <v>635</v>
      </c>
      <c r="I156" s="8" t="s">
        <v>716</v>
      </c>
      <c r="J156" s="8" t="s">
        <v>22</v>
      </c>
      <c r="K156" s="6"/>
      <c r="L156" s="7" t="s">
        <v>22</v>
      </c>
      <c r="M156" s="6" t="s">
        <v>40</v>
      </c>
      <c r="N156" s="8" t="s">
        <v>717</v>
      </c>
      <c r="O156" s="6">
        <f>HYPERLINK("https://docs.wto.org/imrd/directdoc.asp?DDFDocuments/t/G/TBTN23/USA2005A2.DOCX", "https://docs.wto.org/imrd/directdoc.asp?DDFDocuments/t/G/TBTN23/USA2005A2.DOCX")</f>
      </c>
      <c r="P156" s="6">
        <f>HYPERLINK("https://docs.wto.org/imrd/directdoc.asp?DDFDocuments/u/G/TBTN23/USA2005A2.DOCX", "https://docs.wto.org/imrd/directdoc.asp?DDFDocuments/u/G/TBTN23/USA2005A2.DOCX")</f>
      </c>
      <c r="Q156" s="6">
        <f>HYPERLINK("https://docs.wto.org/imrd/directdoc.asp?DDFDocuments/v/G/TBTN23/USA2005A2.DOCX", "https://docs.wto.org/imrd/directdoc.asp?DDFDocuments/v/G/TBTN23/USA2005A2.DOCX")</f>
      </c>
    </row>
    <row r="157">
      <c r="A157" s="6" t="s">
        <v>82</v>
      </c>
      <c r="B157" s="7">
        <v>45645</v>
      </c>
      <c r="C157" s="9">
        <f>HYPERLINK("https://eping.wto.org/en/Search?viewData= G/TBT/N/BRA/1581"," G/TBT/N/BRA/1581")</f>
      </c>
      <c r="D157" s="8" t="s">
        <v>718</v>
      </c>
      <c r="E157" s="8" t="s">
        <v>719</v>
      </c>
      <c r="F157" s="8" t="s">
        <v>720</v>
      </c>
      <c r="G157" s="8" t="s">
        <v>721</v>
      </c>
      <c r="H157" s="8" t="s">
        <v>722</v>
      </c>
      <c r="I157" s="8" t="s">
        <v>39</v>
      </c>
      <c r="J157" s="8" t="s">
        <v>139</v>
      </c>
      <c r="K157" s="6"/>
      <c r="L157" s="7">
        <v>45740</v>
      </c>
      <c r="M157" s="6" t="s">
        <v>32</v>
      </c>
      <c r="N157" s="8" t="s">
        <v>723</v>
      </c>
      <c r="O157" s="6">
        <f>HYPERLINK("https://docs.wto.org/imrd/directdoc.asp?DDFDocuments/t/G/TBTN24/BRA1581.DOCX", "https://docs.wto.org/imrd/directdoc.asp?DDFDocuments/t/G/TBTN24/BRA1581.DOCX")</f>
      </c>
      <c r="P157" s="6">
        <f>HYPERLINK("https://docs.wto.org/imrd/directdoc.asp?DDFDocuments/u/G/TBTN24/BRA1581.DOCX", "https://docs.wto.org/imrd/directdoc.asp?DDFDocuments/u/G/TBTN24/BRA1581.DOCX")</f>
      </c>
      <c r="Q157" s="6">
        <f>HYPERLINK("https://docs.wto.org/imrd/directdoc.asp?DDFDocuments/v/G/TBTN24/BRA1581.DOCX", "https://docs.wto.org/imrd/directdoc.asp?DDFDocuments/v/G/TBTN24/BRA1581.DOCX")</f>
      </c>
    </row>
    <row r="158">
      <c r="A158" s="6" t="s">
        <v>646</v>
      </c>
      <c r="B158" s="7">
        <v>45645</v>
      </c>
      <c r="C158" s="9">
        <f>HYPERLINK("https://eping.wto.org/en/Search?viewData= G/SPS/N/COL/364/Add.1"," G/SPS/N/COL/364/Add.1")</f>
      </c>
      <c r="D158" s="8" t="s">
        <v>724</v>
      </c>
      <c r="E158" s="8" t="s">
        <v>724</v>
      </c>
      <c r="F158" s="8" t="s">
        <v>725</v>
      </c>
      <c r="G158" s="8" t="s">
        <v>22</v>
      </c>
      <c r="H158" s="8" t="s">
        <v>22</v>
      </c>
      <c r="I158" s="8" t="s">
        <v>390</v>
      </c>
      <c r="J158" s="8" t="s">
        <v>726</v>
      </c>
      <c r="K158" s="6"/>
      <c r="L158" s="7" t="s">
        <v>22</v>
      </c>
      <c r="M158" s="6" t="s">
        <v>40</v>
      </c>
      <c r="N158" s="8" t="s">
        <v>727</v>
      </c>
      <c r="O158" s="6">
        <f>HYPERLINK("https://docs.wto.org/imrd/directdoc.asp?DDFDocuments/t/G/SPS/NCOL364A1.DOCX", "https://docs.wto.org/imrd/directdoc.asp?DDFDocuments/t/G/SPS/NCOL364A1.DOCX")</f>
      </c>
      <c r="P158" s="6">
        <f>HYPERLINK("https://docs.wto.org/imrd/directdoc.asp?DDFDocuments/u/G/SPS/NCOL364A1.DOCX", "https://docs.wto.org/imrd/directdoc.asp?DDFDocuments/u/G/SPS/NCOL364A1.DOCX")</f>
      </c>
      <c r="Q158" s="6">
        <f>HYPERLINK("https://docs.wto.org/imrd/directdoc.asp?DDFDocuments/v/G/SPS/NCOL364A1.DOCX", "https://docs.wto.org/imrd/directdoc.asp?DDFDocuments/v/G/SPS/NCOL364A1.DOCX")</f>
      </c>
    </row>
    <row r="159">
      <c r="A159" s="6" t="s">
        <v>418</v>
      </c>
      <c r="B159" s="7">
        <v>45644</v>
      </c>
      <c r="C159" s="9">
        <f>HYPERLINK("https://eping.wto.org/en/Search?viewData= G/SPS/N/EU/803"," G/SPS/N/EU/803")</f>
      </c>
      <c r="D159" s="8" t="s">
        <v>728</v>
      </c>
      <c r="E159" s="8" t="s">
        <v>729</v>
      </c>
      <c r="F159" s="8" t="s">
        <v>730</v>
      </c>
      <c r="G159" s="8" t="s">
        <v>22</v>
      </c>
      <c r="H159" s="8" t="s">
        <v>22</v>
      </c>
      <c r="I159" s="8" t="s">
        <v>120</v>
      </c>
      <c r="J159" s="8" t="s">
        <v>416</v>
      </c>
      <c r="K159" s="6"/>
      <c r="L159" s="7">
        <v>45704</v>
      </c>
      <c r="M159" s="6" t="s">
        <v>32</v>
      </c>
      <c r="N159" s="8" t="s">
        <v>731</v>
      </c>
      <c r="O159" s="6">
        <f>HYPERLINK("https://docs.wto.org/imrd/directdoc.asp?DDFDocuments/t/G/SPS/NEU803.DOCX", "https://docs.wto.org/imrd/directdoc.asp?DDFDocuments/t/G/SPS/NEU803.DOCX")</f>
      </c>
      <c r="P159" s="6">
        <f>HYPERLINK("https://docs.wto.org/imrd/directdoc.asp?DDFDocuments/u/G/SPS/NEU803.DOCX", "https://docs.wto.org/imrd/directdoc.asp?DDFDocuments/u/G/SPS/NEU803.DOCX")</f>
      </c>
      <c r="Q159" s="6">
        <f>HYPERLINK("https://docs.wto.org/imrd/directdoc.asp?DDFDocuments/v/G/SPS/NEU803.DOCX", "https://docs.wto.org/imrd/directdoc.asp?DDFDocuments/v/G/SPS/NEU803.DOCX")</f>
      </c>
    </row>
    <row r="160">
      <c r="A160" s="6" t="s">
        <v>732</v>
      </c>
      <c r="B160" s="7">
        <v>45644</v>
      </c>
      <c r="C160" s="9">
        <f>HYPERLINK("https://eping.wto.org/en/Search?viewData= G/SPS/N/MEX/438/Add.1"," G/SPS/N/MEX/438/Add.1")</f>
      </c>
      <c r="D160" s="8" t="s">
        <v>733</v>
      </c>
      <c r="E160" s="8" t="s">
        <v>733</v>
      </c>
      <c r="F160" s="8" t="s">
        <v>734</v>
      </c>
      <c r="G160" s="8" t="s">
        <v>22</v>
      </c>
      <c r="H160" s="8" t="s">
        <v>22</v>
      </c>
      <c r="I160" s="8" t="s">
        <v>518</v>
      </c>
      <c r="J160" s="8" t="s">
        <v>735</v>
      </c>
      <c r="K160" s="6"/>
      <c r="L160" s="7" t="s">
        <v>22</v>
      </c>
      <c r="M160" s="6" t="s">
        <v>40</v>
      </c>
      <c r="N160" s="8" t="s">
        <v>736</v>
      </c>
      <c r="O160" s="6">
        <f>HYPERLINK("https://docs.wto.org/imrd/directdoc.asp?DDFDocuments/t/G/SPS/NMEX438A1.DOCX", "https://docs.wto.org/imrd/directdoc.asp?DDFDocuments/t/G/SPS/NMEX438A1.DOCX")</f>
      </c>
      <c r="P160" s="6">
        <f>HYPERLINK("https://docs.wto.org/imrd/directdoc.asp?DDFDocuments/u/G/SPS/NMEX438A1.DOCX", "https://docs.wto.org/imrd/directdoc.asp?DDFDocuments/u/G/SPS/NMEX438A1.DOCX")</f>
      </c>
      <c r="Q160" s="6">
        <f>HYPERLINK("https://docs.wto.org/imrd/directdoc.asp?DDFDocuments/v/G/SPS/NMEX438A1.DOCX", "https://docs.wto.org/imrd/directdoc.asp?DDFDocuments/v/G/SPS/NMEX438A1.DOCX")</f>
      </c>
    </row>
    <row r="161">
      <c r="A161" s="6" t="s">
        <v>496</v>
      </c>
      <c r="B161" s="7">
        <v>45644</v>
      </c>
      <c r="C161" s="9">
        <f>HYPERLINK("https://eping.wto.org/en/Search?viewData= G/TBT/N/GBR/90/Add.1"," G/TBT/N/GBR/90/Add.1")</f>
      </c>
      <c r="D161" s="8" t="s">
        <v>737</v>
      </c>
      <c r="E161" s="8" t="s">
        <v>738</v>
      </c>
      <c r="F161" s="8" t="s">
        <v>739</v>
      </c>
      <c r="G161" s="8" t="s">
        <v>740</v>
      </c>
      <c r="H161" s="8" t="s">
        <v>741</v>
      </c>
      <c r="I161" s="8" t="s">
        <v>619</v>
      </c>
      <c r="J161" s="8" t="s">
        <v>22</v>
      </c>
      <c r="K161" s="6"/>
      <c r="L161" s="7" t="s">
        <v>22</v>
      </c>
      <c r="M161" s="6" t="s">
        <v>40</v>
      </c>
      <c r="N161" s="8" t="s">
        <v>742</v>
      </c>
      <c r="O161" s="6">
        <f>HYPERLINK("https://docs.wto.org/imrd/directdoc.asp?DDFDocuments/t/G/TBTN24/GBR90A1.DOCX", "https://docs.wto.org/imrd/directdoc.asp?DDFDocuments/t/G/TBTN24/GBR90A1.DOCX")</f>
      </c>
      <c r="P161" s="6">
        <f>HYPERLINK("https://docs.wto.org/imrd/directdoc.asp?DDFDocuments/u/G/TBTN24/GBR90A1.DOCX", "https://docs.wto.org/imrd/directdoc.asp?DDFDocuments/u/G/TBTN24/GBR90A1.DOCX")</f>
      </c>
      <c r="Q161" s="6">
        <f>HYPERLINK("https://docs.wto.org/imrd/directdoc.asp?DDFDocuments/v/G/TBTN24/GBR90A1.DOCX", "https://docs.wto.org/imrd/directdoc.asp?DDFDocuments/v/G/TBTN24/GBR90A1.DOCX")</f>
      </c>
    </row>
    <row r="162">
      <c r="A162" s="6" t="s">
        <v>646</v>
      </c>
      <c r="B162" s="7">
        <v>45644</v>
      </c>
      <c r="C162" s="9">
        <f>HYPERLINK("https://eping.wto.org/en/Search?viewData= G/SPS/N/COL/362/Add.1"," G/SPS/N/COL/362/Add.1")</f>
      </c>
      <c r="D162" s="8" t="s">
        <v>743</v>
      </c>
      <c r="E162" s="8" t="s">
        <v>743</v>
      </c>
      <c r="F162" s="8" t="s">
        <v>744</v>
      </c>
      <c r="G162" s="8" t="s">
        <v>22</v>
      </c>
      <c r="H162" s="8" t="s">
        <v>22</v>
      </c>
      <c r="I162" s="8" t="s">
        <v>745</v>
      </c>
      <c r="J162" s="8" t="s">
        <v>746</v>
      </c>
      <c r="K162" s="6"/>
      <c r="L162" s="7" t="s">
        <v>22</v>
      </c>
      <c r="M162" s="6" t="s">
        <v>24</v>
      </c>
      <c r="N162" s="8" t="s">
        <v>747</v>
      </c>
      <c r="O162" s="6">
        <f>HYPERLINK("https://docs.wto.org/imrd/directdoc.asp?DDFDocuments/t/G/SPS/NCOL362A1.DOCX", "https://docs.wto.org/imrd/directdoc.asp?DDFDocuments/t/G/SPS/NCOL362A1.DOCX")</f>
      </c>
      <c r="P162" s="6">
        <f>HYPERLINK("https://docs.wto.org/imrd/directdoc.asp?DDFDocuments/u/G/SPS/NCOL362A1.DOCX", "https://docs.wto.org/imrd/directdoc.asp?DDFDocuments/u/G/SPS/NCOL362A1.DOCX")</f>
      </c>
      <c r="Q162" s="6">
        <f>HYPERLINK("https://docs.wto.org/imrd/directdoc.asp?DDFDocuments/v/G/SPS/NCOL362A1.DOCX", "https://docs.wto.org/imrd/directdoc.asp?DDFDocuments/v/G/SPS/NCOL362A1.DOCX")</f>
      </c>
    </row>
    <row r="163">
      <c r="A163" s="6" t="s">
        <v>132</v>
      </c>
      <c r="B163" s="7">
        <v>45644</v>
      </c>
      <c r="C163" s="9">
        <f>HYPERLINK("https://eping.wto.org/en/Search?viewData= G/TBT/N/CAN/694/Add.2"," G/TBT/N/CAN/694/Add.2")</f>
      </c>
      <c r="D163" s="8" t="s">
        <v>748</v>
      </c>
      <c r="E163" s="8" t="s">
        <v>749</v>
      </c>
      <c r="F163" s="8" t="s">
        <v>750</v>
      </c>
      <c r="G163" s="8" t="s">
        <v>22</v>
      </c>
      <c r="H163" s="8" t="s">
        <v>433</v>
      </c>
      <c r="I163" s="8" t="s">
        <v>138</v>
      </c>
      <c r="J163" s="8" t="s">
        <v>266</v>
      </c>
      <c r="K163" s="6"/>
      <c r="L163" s="7" t="s">
        <v>22</v>
      </c>
      <c r="M163" s="6" t="s">
        <v>40</v>
      </c>
      <c r="N163" s="8" t="s">
        <v>751</v>
      </c>
      <c r="O163" s="6">
        <f>HYPERLINK("https://docs.wto.org/imrd/directdoc.asp?DDFDocuments/t/G/TBTN23/CAN694A2.DOCX", "https://docs.wto.org/imrd/directdoc.asp?DDFDocuments/t/G/TBTN23/CAN694A2.DOCX")</f>
      </c>
      <c r="P163" s="6">
        <f>HYPERLINK("https://docs.wto.org/imrd/directdoc.asp?DDFDocuments/u/G/TBTN23/CAN694A2.DOCX", "https://docs.wto.org/imrd/directdoc.asp?DDFDocuments/u/G/TBTN23/CAN694A2.DOCX")</f>
      </c>
      <c r="Q163" s="6">
        <f>HYPERLINK("https://docs.wto.org/imrd/directdoc.asp?DDFDocuments/v/G/TBTN23/CAN694A2.DOCX", "https://docs.wto.org/imrd/directdoc.asp?DDFDocuments/v/G/TBTN23/CAN694A2.DOCX")</f>
      </c>
    </row>
    <row r="164">
      <c r="A164" s="6" t="s">
        <v>583</v>
      </c>
      <c r="B164" s="7">
        <v>45644</v>
      </c>
      <c r="C164" s="9">
        <f>HYPERLINK("https://eping.wto.org/en/Search?viewData= G/TBT/N/EGY/3/Add.87"," G/TBT/N/EGY/3/Add.87")</f>
      </c>
      <c r="D164" s="8" t="s">
        <v>752</v>
      </c>
      <c r="E164" s="8" t="s">
        <v>753</v>
      </c>
      <c r="F164" s="8" t="s">
        <v>754</v>
      </c>
      <c r="G164" s="8" t="s">
        <v>22</v>
      </c>
      <c r="H164" s="8" t="s">
        <v>755</v>
      </c>
      <c r="I164" s="8" t="s">
        <v>22</v>
      </c>
      <c r="J164" s="8" t="s">
        <v>22</v>
      </c>
      <c r="K164" s="6"/>
      <c r="L164" s="7" t="s">
        <v>22</v>
      </c>
      <c r="M164" s="6" t="s">
        <v>40</v>
      </c>
      <c r="N164" s="6"/>
      <c r="O164" s="6">
        <f>HYPERLINK("https://docs.wto.org/imrd/directdoc.asp?DDFDocuments/t/G/TBTN05/EGY3A87.DOCX", "https://docs.wto.org/imrd/directdoc.asp?DDFDocuments/t/G/TBTN05/EGY3A87.DOCX")</f>
      </c>
      <c r="P164" s="6">
        <f>HYPERLINK("https://docs.wto.org/imrd/directdoc.asp?DDFDocuments/u/G/TBTN05/EGY3A87.DOCX", "https://docs.wto.org/imrd/directdoc.asp?DDFDocuments/u/G/TBTN05/EGY3A87.DOCX")</f>
      </c>
      <c r="Q164" s="6">
        <f>HYPERLINK("https://docs.wto.org/imrd/directdoc.asp?DDFDocuments/v/G/TBTN05/EGY3A87.DOCX", "https://docs.wto.org/imrd/directdoc.asp?DDFDocuments/v/G/TBTN05/EGY3A87.DOCX")</f>
      </c>
    </row>
    <row r="165">
      <c r="A165" s="6" t="s">
        <v>333</v>
      </c>
      <c r="B165" s="7">
        <v>45644</v>
      </c>
      <c r="C165" s="9">
        <f>HYPERLINK("https://eping.wto.org/en/Search?viewData= G/TBT/N/AUS/169/Add.1"," G/TBT/N/AUS/169/Add.1")</f>
      </c>
      <c r="D165" s="8" t="s">
        <v>756</v>
      </c>
      <c r="E165" s="8" t="s">
        <v>757</v>
      </c>
      <c r="F165" s="8" t="s">
        <v>758</v>
      </c>
      <c r="G165" s="8" t="s">
        <v>759</v>
      </c>
      <c r="H165" s="8" t="s">
        <v>264</v>
      </c>
      <c r="I165" s="8" t="s">
        <v>760</v>
      </c>
      <c r="J165" s="8" t="s">
        <v>761</v>
      </c>
      <c r="K165" s="6"/>
      <c r="L165" s="7" t="s">
        <v>22</v>
      </c>
      <c r="M165" s="6" t="s">
        <v>40</v>
      </c>
      <c r="N165" s="8" t="s">
        <v>762</v>
      </c>
      <c r="O165" s="6">
        <f>HYPERLINK("https://docs.wto.org/imrd/directdoc.asp?DDFDocuments/t/G/TBTN24/AUS169A1.DOCX", "https://docs.wto.org/imrd/directdoc.asp?DDFDocuments/t/G/TBTN24/AUS169A1.DOCX")</f>
      </c>
      <c r="P165" s="6">
        <f>HYPERLINK("https://docs.wto.org/imrd/directdoc.asp?DDFDocuments/u/G/TBTN24/AUS169A1.DOCX", "https://docs.wto.org/imrd/directdoc.asp?DDFDocuments/u/G/TBTN24/AUS169A1.DOCX")</f>
      </c>
      <c r="Q165" s="6">
        <f>HYPERLINK("https://docs.wto.org/imrd/directdoc.asp?DDFDocuments/v/G/TBTN24/AUS169A1.DOCX", "https://docs.wto.org/imrd/directdoc.asp?DDFDocuments/v/G/TBTN24/AUS169A1.DOCX")</f>
      </c>
    </row>
    <row r="166">
      <c r="A166" s="6" t="s">
        <v>472</v>
      </c>
      <c r="B166" s="7">
        <v>45644</v>
      </c>
      <c r="C166" s="9">
        <f>HYPERLINK("https://eping.wto.org/en/Search?viewData= G/TBT/N/JPN/846"," G/TBT/N/JPN/846")</f>
      </c>
      <c r="D166" s="8" t="s">
        <v>763</v>
      </c>
      <c r="E166" s="8" t="s">
        <v>764</v>
      </c>
      <c r="F166" s="8" t="s">
        <v>765</v>
      </c>
      <c r="G166" s="8" t="s">
        <v>22</v>
      </c>
      <c r="H166" s="8" t="s">
        <v>766</v>
      </c>
      <c r="I166" s="8" t="s">
        <v>138</v>
      </c>
      <c r="J166" s="8" t="s">
        <v>22</v>
      </c>
      <c r="K166" s="6"/>
      <c r="L166" s="7">
        <v>45704</v>
      </c>
      <c r="M166" s="6" t="s">
        <v>32</v>
      </c>
      <c r="N166" s="8" t="s">
        <v>767</v>
      </c>
      <c r="O166" s="6">
        <f>HYPERLINK("https://docs.wto.org/imrd/directdoc.asp?DDFDocuments/t/G/TBTN24/JPN846.DOCX", "https://docs.wto.org/imrd/directdoc.asp?DDFDocuments/t/G/TBTN24/JPN846.DOCX")</f>
      </c>
      <c r="P166" s="6">
        <f>HYPERLINK("https://docs.wto.org/imrd/directdoc.asp?DDFDocuments/u/G/TBTN24/JPN846.DOCX", "https://docs.wto.org/imrd/directdoc.asp?DDFDocuments/u/G/TBTN24/JPN846.DOCX")</f>
      </c>
      <c r="Q166" s="6">
        <f>HYPERLINK("https://docs.wto.org/imrd/directdoc.asp?DDFDocuments/v/G/TBTN24/JPN846.DOCX", "https://docs.wto.org/imrd/directdoc.asp?DDFDocuments/v/G/TBTN24/JPN846.DOCX")</f>
      </c>
    </row>
    <row r="167">
      <c r="A167" s="6" t="s">
        <v>496</v>
      </c>
      <c r="B167" s="7">
        <v>45644</v>
      </c>
      <c r="C167" s="9">
        <f>HYPERLINK("https://eping.wto.org/en/Search?viewData= G/SPS/N/GBR/78"," G/SPS/N/GBR/78")</f>
      </c>
      <c r="D167" s="8" t="s">
        <v>768</v>
      </c>
      <c r="E167" s="8" t="s">
        <v>769</v>
      </c>
      <c r="F167" s="8" t="s">
        <v>770</v>
      </c>
      <c r="G167" s="8" t="s">
        <v>22</v>
      </c>
      <c r="H167" s="8" t="s">
        <v>22</v>
      </c>
      <c r="I167" s="8" t="s">
        <v>390</v>
      </c>
      <c r="J167" s="8" t="s">
        <v>771</v>
      </c>
      <c r="K167" s="6" t="s">
        <v>22</v>
      </c>
      <c r="L167" s="7">
        <v>45704</v>
      </c>
      <c r="M167" s="6" t="s">
        <v>32</v>
      </c>
      <c r="N167" s="8" t="s">
        <v>772</v>
      </c>
      <c r="O167" s="6">
        <f>HYPERLINK("https://docs.wto.org/imrd/directdoc.asp?DDFDocuments/t/G/SPS/NGBR78.DOCX", "https://docs.wto.org/imrd/directdoc.asp?DDFDocuments/t/G/SPS/NGBR78.DOCX")</f>
      </c>
      <c r="P167" s="6">
        <f>HYPERLINK("https://docs.wto.org/imrd/directdoc.asp?DDFDocuments/u/G/SPS/NGBR78.DOCX", "https://docs.wto.org/imrd/directdoc.asp?DDFDocuments/u/G/SPS/NGBR78.DOCX")</f>
      </c>
      <c r="Q167" s="6">
        <f>HYPERLINK("https://docs.wto.org/imrd/directdoc.asp?DDFDocuments/v/G/SPS/NGBR78.DOCX", "https://docs.wto.org/imrd/directdoc.asp?DDFDocuments/v/G/SPS/NGBR78.DOCX")</f>
      </c>
    </row>
    <row r="168">
      <c r="A168" s="6" t="s">
        <v>366</v>
      </c>
      <c r="B168" s="7">
        <v>45644</v>
      </c>
      <c r="C168" s="9">
        <f>HYPERLINK("https://eping.wto.org/en/Search?viewData= G/SPS/N/KAZ/167/Add.1"," G/SPS/N/KAZ/167/Add.1")</f>
      </c>
      <c r="D168" s="8" t="s">
        <v>773</v>
      </c>
      <c r="E168" s="8" t="s">
        <v>774</v>
      </c>
      <c r="F168" s="8" t="s">
        <v>775</v>
      </c>
      <c r="G168" s="8" t="s">
        <v>776</v>
      </c>
      <c r="H168" s="8" t="s">
        <v>22</v>
      </c>
      <c r="I168" s="8" t="s">
        <v>371</v>
      </c>
      <c r="J168" s="8" t="s">
        <v>777</v>
      </c>
      <c r="K168" s="6"/>
      <c r="L168" s="7" t="s">
        <v>22</v>
      </c>
      <c r="M168" s="6" t="s">
        <v>24</v>
      </c>
      <c r="N168" s="6"/>
      <c r="O168" s="6">
        <f>HYPERLINK("https://docs.wto.org/imrd/directdoc.asp?DDFDocuments/t/G/SPS/NKAZ167A1.DOCX", "https://docs.wto.org/imrd/directdoc.asp?DDFDocuments/t/G/SPS/NKAZ167A1.DOCX")</f>
      </c>
      <c r="P168" s="6">
        <f>HYPERLINK("https://docs.wto.org/imrd/directdoc.asp?DDFDocuments/u/G/SPS/NKAZ167A1.DOCX", "https://docs.wto.org/imrd/directdoc.asp?DDFDocuments/u/G/SPS/NKAZ167A1.DOCX")</f>
      </c>
      <c r="Q168" s="6">
        <f>HYPERLINK("https://docs.wto.org/imrd/directdoc.asp?DDFDocuments/v/G/SPS/NKAZ167A1.DOCX", "https://docs.wto.org/imrd/directdoc.asp?DDFDocuments/v/G/SPS/NKAZ167A1.DOCX")</f>
      </c>
    </row>
    <row r="169">
      <c r="A169" s="6" t="s">
        <v>400</v>
      </c>
      <c r="B169" s="7">
        <v>45644</v>
      </c>
      <c r="C169" s="9">
        <f>HYPERLINK("https://eping.wto.org/en/Search?viewData= G/TBT/N/USA/2109/Add.1"," G/TBT/N/USA/2109/Add.1")</f>
      </c>
      <c r="D169" s="8" t="s">
        <v>778</v>
      </c>
      <c r="E169" s="8" t="s">
        <v>779</v>
      </c>
      <c r="F169" s="8" t="s">
        <v>780</v>
      </c>
      <c r="G169" s="8" t="s">
        <v>781</v>
      </c>
      <c r="H169" s="8" t="s">
        <v>782</v>
      </c>
      <c r="I169" s="8" t="s">
        <v>304</v>
      </c>
      <c r="J169" s="8" t="s">
        <v>783</v>
      </c>
      <c r="K169" s="6"/>
      <c r="L169" s="7" t="s">
        <v>22</v>
      </c>
      <c r="M169" s="6" t="s">
        <v>40</v>
      </c>
      <c r="N169" s="8" t="s">
        <v>784</v>
      </c>
      <c r="O169" s="6">
        <f>HYPERLINK("https://docs.wto.org/imrd/directdoc.asp?DDFDocuments/t/G/TBTN24/USA2109A1.DOCX", "https://docs.wto.org/imrd/directdoc.asp?DDFDocuments/t/G/TBTN24/USA2109A1.DOCX")</f>
      </c>
      <c r="P169" s="6">
        <f>HYPERLINK("https://docs.wto.org/imrd/directdoc.asp?DDFDocuments/u/G/TBTN24/USA2109A1.DOCX", "https://docs.wto.org/imrd/directdoc.asp?DDFDocuments/u/G/TBTN24/USA2109A1.DOCX")</f>
      </c>
      <c r="Q169" s="6">
        <f>HYPERLINK("https://docs.wto.org/imrd/directdoc.asp?DDFDocuments/v/G/TBTN24/USA2109A1.DOCX", "https://docs.wto.org/imrd/directdoc.asp?DDFDocuments/v/G/TBTN24/USA2109A1.DOCX")</f>
      </c>
    </row>
    <row r="170">
      <c r="A170" s="6" t="s">
        <v>785</v>
      </c>
      <c r="B170" s="7">
        <v>45644</v>
      </c>
      <c r="C170" s="9">
        <f>HYPERLINK("https://eping.wto.org/en/Search?viewData= G/TBT/N/DOM/233/Add.1"," G/TBT/N/DOM/233/Add.1")</f>
      </c>
      <c r="D170" s="8" t="s">
        <v>786</v>
      </c>
      <c r="E170" s="8" t="s">
        <v>787</v>
      </c>
      <c r="F170" s="8" t="s">
        <v>788</v>
      </c>
      <c r="G170" s="8" t="s">
        <v>22</v>
      </c>
      <c r="H170" s="8" t="s">
        <v>789</v>
      </c>
      <c r="I170" s="8" t="s">
        <v>790</v>
      </c>
      <c r="J170" s="8" t="s">
        <v>22</v>
      </c>
      <c r="K170" s="6"/>
      <c r="L170" s="7" t="s">
        <v>22</v>
      </c>
      <c r="M170" s="6" t="s">
        <v>40</v>
      </c>
      <c r="N170" s="6"/>
      <c r="O170" s="6">
        <f>HYPERLINK("https://docs.wto.org/imrd/directdoc.asp?DDFDocuments/t/G/TBTN23/DOM233A1.DOCX", "https://docs.wto.org/imrd/directdoc.asp?DDFDocuments/t/G/TBTN23/DOM233A1.DOCX")</f>
      </c>
      <c r="P170" s="6">
        <f>HYPERLINK("https://docs.wto.org/imrd/directdoc.asp?DDFDocuments/u/G/TBTN23/DOM233A1.DOCX", "https://docs.wto.org/imrd/directdoc.asp?DDFDocuments/u/G/TBTN23/DOM233A1.DOCX")</f>
      </c>
      <c r="Q170" s="6">
        <f>HYPERLINK("https://docs.wto.org/imrd/directdoc.asp?DDFDocuments/v/G/TBTN23/DOM233A1.DOCX", "https://docs.wto.org/imrd/directdoc.asp?DDFDocuments/v/G/TBTN23/DOM233A1.DOCX")</f>
      </c>
    </row>
    <row r="171">
      <c r="A171" s="6" t="s">
        <v>583</v>
      </c>
      <c r="B171" s="7">
        <v>45644</v>
      </c>
      <c r="C171" s="9">
        <f>HYPERLINK("https://eping.wto.org/en/Search?viewData= G/TBT/N/EGY/233/Add.2"," G/TBT/N/EGY/233/Add.2")</f>
      </c>
      <c r="D171" s="8" t="s">
        <v>791</v>
      </c>
      <c r="E171" s="8" t="s">
        <v>792</v>
      </c>
      <c r="F171" s="8" t="s">
        <v>793</v>
      </c>
      <c r="G171" s="8" t="s">
        <v>22</v>
      </c>
      <c r="H171" s="8" t="s">
        <v>794</v>
      </c>
      <c r="I171" s="8" t="s">
        <v>39</v>
      </c>
      <c r="J171" s="8" t="s">
        <v>22</v>
      </c>
      <c r="K171" s="6"/>
      <c r="L171" s="7" t="s">
        <v>22</v>
      </c>
      <c r="M171" s="6" t="s">
        <v>40</v>
      </c>
      <c r="N171" s="6"/>
      <c r="O171" s="6">
        <f>HYPERLINK("https://docs.wto.org/imrd/directdoc.asp?DDFDocuments/t/G/TBTN19/EGY233A2.DOCX", "https://docs.wto.org/imrd/directdoc.asp?DDFDocuments/t/G/TBTN19/EGY233A2.DOCX")</f>
      </c>
      <c r="P171" s="6">
        <f>HYPERLINK("https://docs.wto.org/imrd/directdoc.asp?DDFDocuments/u/G/TBTN19/EGY233A2.DOCX", "https://docs.wto.org/imrd/directdoc.asp?DDFDocuments/u/G/TBTN19/EGY233A2.DOCX")</f>
      </c>
      <c r="Q171" s="6">
        <f>HYPERLINK("https://docs.wto.org/imrd/directdoc.asp?DDFDocuments/v/G/TBTN19/EGY233A2.DOCX", "https://docs.wto.org/imrd/directdoc.asp?DDFDocuments/v/G/TBTN19/EGY233A2.DOCX")</f>
      </c>
    </row>
    <row r="172">
      <c r="A172" s="6" t="s">
        <v>513</v>
      </c>
      <c r="B172" s="7">
        <v>45644</v>
      </c>
      <c r="C172" s="9">
        <f>HYPERLINK("https://eping.wto.org/en/Search?viewData= G/TBT/N/IND/355"," G/TBT/N/IND/355")</f>
      </c>
      <c r="D172" s="8" t="s">
        <v>795</v>
      </c>
      <c r="E172" s="8" t="s">
        <v>796</v>
      </c>
      <c r="F172" s="8" t="s">
        <v>797</v>
      </c>
      <c r="G172" s="8" t="s">
        <v>22</v>
      </c>
      <c r="H172" s="8" t="s">
        <v>556</v>
      </c>
      <c r="I172" s="8" t="s">
        <v>138</v>
      </c>
      <c r="J172" s="8" t="s">
        <v>22</v>
      </c>
      <c r="K172" s="6"/>
      <c r="L172" s="7">
        <v>45704</v>
      </c>
      <c r="M172" s="6" t="s">
        <v>32</v>
      </c>
      <c r="N172" s="8" t="s">
        <v>798</v>
      </c>
      <c r="O172" s="6">
        <f>HYPERLINK("https://docs.wto.org/imrd/directdoc.asp?DDFDocuments/t/G/TBTN24/IND355.DOCX", "https://docs.wto.org/imrd/directdoc.asp?DDFDocuments/t/G/TBTN24/IND355.DOCX")</f>
      </c>
      <c r="P172" s="6">
        <f>HYPERLINK("https://docs.wto.org/imrd/directdoc.asp?DDFDocuments/u/G/TBTN24/IND355.DOCX", "https://docs.wto.org/imrd/directdoc.asp?DDFDocuments/u/G/TBTN24/IND355.DOCX")</f>
      </c>
      <c r="Q172" s="6">
        <f>HYPERLINK("https://docs.wto.org/imrd/directdoc.asp?DDFDocuments/v/G/TBTN24/IND355.DOCX", "https://docs.wto.org/imrd/directdoc.asp?DDFDocuments/v/G/TBTN24/IND355.DOCX")</f>
      </c>
    </row>
    <row r="173">
      <c r="A173" s="6" t="s">
        <v>583</v>
      </c>
      <c r="B173" s="7">
        <v>45644</v>
      </c>
      <c r="C173" s="9">
        <f>HYPERLINK("https://eping.wto.org/en/Search?viewData= G/TBT/N/EGY/3/Add.88"," G/TBT/N/EGY/3/Add.88")</f>
      </c>
      <c r="D173" s="8" t="s">
        <v>799</v>
      </c>
      <c r="E173" s="8" t="s">
        <v>800</v>
      </c>
      <c r="F173" s="8" t="s">
        <v>754</v>
      </c>
      <c r="G173" s="8" t="s">
        <v>22</v>
      </c>
      <c r="H173" s="8" t="s">
        <v>755</v>
      </c>
      <c r="I173" s="8" t="s">
        <v>22</v>
      </c>
      <c r="J173" s="8" t="s">
        <v>22</v>
      </c>
      <c r="K173" s="6"/>
      <c r="L173" s="7" t="s">
        <v>22</v>
      </c>
      <c r="M173" s="6" t="s">
        <v>40</v>
      </c>
      <c r="N173" s="6"/>
      <c r="O173" s="6">
        <f>HYPERLINK("https://docs.wto.org/imrd/directdoc.asp?DDFDocuments/t/G/TBTN05/EGY3A88.DOCX", "https://docs.wto.org/imrd/directdoc.asp?DDFDocuments/t/G/TBTN05/EGY3A88.DOCX")</f>
      </c>
      <c r="P173" s="6">
        <f>HYPERLINK("https://docs.wto.org/imrd/directdoc.asp?DDFDocuments/u/G/TBTN05/EGY3A88.DOCX", "https://docs.wto.org/imrd/directdoc.asp?DDFDocuments/u/G/TBTN05/EGY3A88.DOCX")</f>
      </c>
      <c r="Q173" s="6">
        <f>HYPERLINK("https://docs.wto.org/imrd/directdoc.asp?DDFDocuments/v/G/TBTN05/EGY3A88.DOCX", "https://docs.wto.org/imrd/directdoc.asp?DDFDocuments/v/G/TBTN05/EGY3A88.DOCX")</f>
      </c>
    </row>
    <row r="174">
      <c r="A174" s="6" t="s">
        <v>583</v>
      </c>
      <c r="B174" s="7">
        <v>45644</v>
      </c>
      <c r="C174" s="9">
        <f>HYPERLINK("https://eping.wto.org/en/Search?viewData= G/TBT/N/EGY/497"," G/TBT/N/EGY/497")</f>
      </c>
      <c r="D174" s="8" t="s">
        <v>801</v>
      </c>
      <c r="E174" s="8" t="s">
        <v>802</v>
      </c>
      <c r="F174" s="8" t="s">
        <v>803</v>
      </c>
      <c r="G174" s="8" t="s">
        <v>22</v>
      </c>
      <c r="H174" s="8" t="s">
        <v>804</v>
      </c>
      <c r="I174" s="8" t="s">
        <v>805</v>
      </c>
      <c r="J174" s="8" t="s">
        <v>22</v>
      </c>
      <c r="K174" s="6"/>
      <c r="L174" s="7">
        <v>45704</v>
      </c>
      <c r="M174" s="6" t="s">
        <v>32</v>
      </c>
      <c r="N174" s="6"/>
      <c r="O174" s="6">
        <f>HYPERLINK("https://docs.wto.org/imrd/directdoc.asp?DDFDocuments/t/G/TBTN24/EGY497.DOCX", "https://docs.wto.org/imrd/directdoc.asp?DDFDocuments/t/G/TBTN24/EGY497.DOCX")</f>
      </c>
      <c r="P174" s="6">
        <f>HYPERLINK("https://docs.wto.org/imrd/directdoc.asp?DDFDocuments/u/G/TBTN24/EGY497.DOCX", "https://docs.wto.org/imrd/directdoc.asp?DDFDocuments/u/G/TBTN24/EGY497.DOCX")</f>
      </c>
      <c r="Q174" s="6">
        <f>HYPERLINK("https://docs.wto.org/imrd/directdoc.asp?DDFDocuments/v/G/TBTN24/EGY497.DOCX", "https://docs.wto.org/imrd/directdoc.asp?DDFDocuments/v/G/TBTN24/EGY497.DOCX")</f>
      </c>
    </row>
    <row r="175">
      <c r="A175" s="6" t="s">
        <v>583</v>
      </c>
      <c r="B175" s="7">
        <v>45644</v>
      </c>
      <c r="C175" s="9">
        <f>HYPERLINK("https://eping.wto.org/en/Search?viewData= G/TBT/N/EGY/3/Add.86"," G/TBT/N/EGY/3/Add.86")</f>
      </c>
      <c r="D175" s="8" t="s">
        <v>806</v>
      </c>
      <c r="E175" s="8" t="s">
        <v>807</v>
      </c>
      <c r="F175" s="8" t="s">
        <v>754</v>
      </c>
      <c r="G175" s="8" t="s">
        <v>22</v>
      </c>
      <c r="H175" s="8" t="s">
        <v>755</v>
      </c>
      <c r="I175" s="8" t="s">
        <v>22</v>
      </c>
      <c r="J175" s="8" t="s">
        <v>22</v>
      </c>
      <c r="K175" s="6"/>
      <c r="L175" s="7" t="s">
        <v>22</v>
      </c>
      <c r="M175" s="6" t="s">
        <v>40</v>
      </c>
      <c r="N175" s="6"/>
      <c r="O175" s="6">
        <f>HYPERLINK("https://docs.wto.org/imrd/directdoc.asp?DDFDocuments/t/G/TBTN05/EGY3A86.DOCX", "https://docs.wto.org/imrd/directdoc.asp?DDFDocuments/t/G/TBTN05/EGY3A86.DOCX")</f>
      </c>
      <c r="P175" s="6">
        <f>HYPERLINK("https://docs.wto.org/imrd/directdoc.asp?DDFDocuments/u/G/TBTN05/EGY3A86.DOCX", "https://docs.wto.org/imrd/directdoc.asp?DDFDocuments/u/G/TBTN05/EGY3A86.DOCX")</f>
      </c>
      <c r="Q175" s="6">
        <f>HYPERLINK("https://docs.wto.org/imrd/directdoc.asp?DDFDocuments/v/G/TBTN05/EGY3A86.DOCX", "https://docs.wto.org/imrd/directdoc.asp?DDFDocuments/v/G/TBTN05/EGY3A86.DOCX")</f>
      </c>
    </row>
    <row r="176">
      <c r="A176" s="6" t="s">
        <v>583</v>
      </c>
      <c r="B176" s="7">
        <v>45644</v>
      </c>
      <c r="C176" s="9">
        <f>HYPERLINK("https://eping.wto.org/en/Search?viewData= G/TBT/N/EGY/328/Add.1/Corr.1"," G/TBT/N/EGY/328/Add.1/Corr.1")</f>
      </c>
      <c r="D176" s="8" t="s">
        <v>808</v>
      </c>
      <c r="E176" s="8" t="s">
        <v>809</v>
      </c>
      <c r="F176" s="8" t="s">
        <v>810</v>
      </c>
      <c r="G176" s="8" t="s">
        <v>22</v>
      </c>
      <c r="H176" s="8" t="s">
        <v>811</v>
      </c>
      <c r="I176" s="8" t="s">
        <v>88</v>
      </c>
      <c r="J176" s="8" t="s">
        <v>812</v>
      </c>
      <c r="K176" s="6"/>
      <c r="L176" s="7" t="s">
        <v>22</v>
      </c>
      <c r="M176" s="6" t="s">
        <v>248</v>
      </c>
      <c r="N176" s="6"/>
      <c r="O176" s="6">
        <f>HYPERLINK("https://docs.wto.org/imrd/directdoc.asp?DDFDocuments/t/G/TBTN22/EGY328A1C1.DOCX", "https://docs.wto.org/imrd/directdoc.asp?DDFDocuments/t/G/TBTN22/EGY328A1C1.DOCX")</f>
      </c>
      <c r="P176" s="6">
        <f>HYPERLINK("https://docs.wto.org/imrd/directdoc.asp?DDFDocuments/u/G/TBTN22/EGY328A1C1.DOCX", "https://docs.wto.org/imrd/directdoc.asp?DDFDocuments/u/G/TBTN22/EGY328A1C1.DOCX")</f>
      </c>
      <c r="Q176" s="6">
        <f>HYPERLINK("https://docs.wto.org/imrd/directdoc.asp?DDFDocuments/v/G/TBTN22/EGY328A1C1.DOCX", "https://docs.wto.org/imrd/directdoc.asp?DDFDocuments/v/G/TBTN22/EGY328A1C1.DOCX")</f>
      </c>
    </row>
    <row r="177">
      <c r="A177" s="6" t="s">
        <v>400</v>
      </c>
      <c r="B177" s="7">
        <v>45644</v>
      </c>
      <c r="C177" s="9">
        <f>HYPERLINK("https://eping.wto.org/en/Search?viewData= G/TBT/N/USA/2171"," G/TBT/N/USA/2171")</f>
      </c>
      <c r="D177" s="8" t="s">
        <v>813</v>
      </c>
      <c r="E177" s="8" t="s">
        <v>814</v>
      </c>
      <c r="F177" s="8" t="s">
        <v>815</v>
      </c>
      <c r="G177" s="8" t="s">
        <v>22</v>
      </c>
      <c r="H177" s="8" t="s">
        <v>816</v>
      </c>
      <c r="I177" s="8" t="s">
        <v>292</v>
      </c>
      <c r="J177" s="8" t="s">
        <v>22</v>
      </c>
      <c r="K177" s="6"/>
      <c r="L177" s="7">
        <v>45642</v>
      </c>
      <c r="M177" s="6" t="s">
        <v>32</v>
      </c>
      <c r="N177" s="8" t="s">
        <v>817</v>
      </c>
      <c r="O177" s="6">
        <f>HYPERLINK("https://docs.wto.org/imrd/directdoc.asp?DDFDocuments/t/G/TBTN24/USA2171.DOCX", "https://docs.wto.org/imrd/directdoc.asp?DDFDocuments/t/G/TBTN24/USA2171.DOCX")</f>
      </c>
      <c r="P177" s="6">
        <f>HYPERLINK("https://docs.wto.org/imrd/directdoc.asp?DDFDocuments/u/G/TBTN24/USA2171.DOCX", "https://docs.wto.org/imrd/directdoc.asp?DDFDocuments/u/G/TBTN24/USA2171.DOCX")</f>
      </c>
      <c r="Q177" s="6">
        <f>HYPERLINK("https://docs.wto.org/imrd/directdoc.asp?DDFDocuments/v/G/TBTN24/USA2171.DOCX", "https://docs.wto.org/imrd/directdoc.asp?DDFDocuments/v/G/TBTN24/USA2171.DOCX")</f>
      </c>
    </row>
    <row r="178">
      <c r="A178" s="6" t="s">
        <v>818</v>
      </c>
      <c r="B178" s="7">
        <v>45644</v>
      </c>
      <c r="C178" s="9">
        <f>HYPERLINK("https://eping.wto.org/en/Search?viewData= G/TBT/N/SLV/232"," G/TBT/N/SLV/232")</f>
      </c>
      <c r="D178" s="8" t="s">
        <v>819</v>
      </c>
      <c r="E178" s="8" t="s">
        <v>820</v>
      </c>
      <c r="F178" s="8" t="s">
        <v>821</v>
      </c>
      <c r="G178" s="8" t="s">
        <v>22</v>
      </c>
      <c r="H178" s="8" t="s">
        <v>822</v>
      </c>
      <c r="I178" s="8" t="s">
        <v>823</v>
      </c>
      <c r="J178" s="8" t="s">
        <v>139</v>
      </c>
      <c r="K178" s="6"/>
      <c r="L178" s="7">
        <v>45704</v>
      </c>
      <c r="M178" s="6" t="s">
        <v>32</v>
      </c>
      <c r="N178" s="8" t="s">
        <v>824</v>
      </c>
      <c r="O178" s="6">
        <f>HYPERLINK("https://docs.wto.org/imrd/directdoc.asp?DDFDocuments/t/G/TBTN24/SLV232.DOCX", "https://docs.wto.org/imrd/directdoc.asp?DDFDocuments/t/G/TBTN24/SLV232.DOCX")</f>
      </c>
      <c r="P178" s="6">
        <f>HYPERLINK("https://docs.wto.org/imrd/directdoc.asp?DDFDocuments/u/G/TBTN24/SLV232.DOCX", "https://docs.wto.org/imrd/directdoc.asp?DDFDocuments/u/G/TBTN24/SLV232.DOCX")</f>
      </c>
      <c r="Q178" s="6">
        <f>HYPERLINK("https://docs.wto.org/imrd/directdoc.asp?DDFDocuments/v/G/TBTN24/SLV232.DOCX", "https://docs.wto.org/imrd/directdoc.asp?DDFDocuments/v/G/TBTN24/SLV232.DOCX")</f>
      </c>
    </row>
    <row r="179">
      <c r="A179" s="6" t="s">
        <v>583</v>
      </c>
      <c r="B179" s="7">
        <v>45644</v>
      </c>
      <c r="C179" s="9">
        <f>HYPERLINK("https://eping.wto.org/en/Search?viewData= G/TBT/N/EGY/499"," G/TBT/N/EGY/499")</f>
      </c>
      <c r="D179" s="8" t="s">
        <v>825</v>
      </c>
      <c r="E179" s="8" t="s">
        <v>826</v>
      </c>
      <c r="F179" s="8" t="s">
        <v>827</v>
      </c>
      <c r="G179" s="8" t="s">
        <v>22</v>
      </c>
      <c r="H179" s="8" t="s">
        <v>828</v>
      </c>
      <c r="I179" s="8" t="s">
        <v>805</v>
      </c>
      <c r="J179" s="8" t="s">
        <v>22</v>
      </c>
      <c r="K179" s="6"/>
      <c r="L179" s="7">
        <v>45704</v>
      </c>
      <c r="M179" s="6" t="s">
        <v>32</v>
      </c>
      <c r="N179" s="6"/>
      <c r="O179" s="6">
        <f>HYPERLINK("https://docs.wto.org/imrd/directdoc.asp?DDFDocuments/t/G/TBTN24/EGY499.DOCX", "https://docs.wto.org/imrd/directdoc.asp?DDFDocuments/t/G/TBTN24/EGY499.DOCX")</f>
      </c>
      <c r="P179" s="6">
        <f>HYPERLINK("https://docs.wto.org/imrd/directdoc.asp?DDFDocuments/u/G/TBTN24/EGY499.DOCX", "https://docs.wto.org/imrd/directdoc.asp?DDFDocuments/u/G/TBTN24/EGY499.DOCX")</f>
      </c>
      <c r="Q179" s="6">
        <f>HYPERLINK("https://docs.wto.org/imrd/directdoc.asp?DDFDocuments/v/G/TBTN24/EGY499.DOCX", "https://docs.wto.org/imrd/directdoc.asp?DDFDocuments/v/G/TBTN24/EGY499.DOCX")</f>
      </c>
    </row>
    <row r="180">
      <c r="A180" s="6" t="s">
        <v>400</v>
      </c>
      <c r="B180" s="7">
        <v>45644</v>
      </c>
      <c r="C180" s="9">
        <f>HYPERLINK("https://eping.wto.org/en/Search?viewData= G/TBT/N/USA/2062/Add.1"," G/TBT/N/USA/2062/Add.1")</f>
      </c>
      <c r="D180" s="8" t="s">
        <v>829</v>
      </c>
      <c r="E180" s="8" t="s">
        <v>830</v>
      </c>
      <c r="F180" s="8" t="s">
        <v>831</v>
      </c>
      <c r="G180" s="8" t="s">
        <v>22</v>
      </c>
      <c r="H180" s="8" t="s">
        <v>635</v>
      </c>
      <c r="I180" s="8" t="s">
        <v>292</v>
      </c>
      <c r="J180" s="8" t="s">
        <v>22</v>
      </c>
      <c r="K180" s="6"/>
      <c r="L180" s="7" t="s">
        <v>22</v>
      </c>
      <c r="M180" s="6" t="s">
        <v>40</v>
      </c>
      <c r="N180" s="8" t="s">
        <v>832</v>
      </c>
      <c r="O180" s="6">
        <f>HYPERLINK("https://docs.wto.org/imrd/directdoc.asp?DDFDocuments/t/G/TBTN23/USA2062A1.DOCX", "https://docs.wto.org/imrd/directdoc.asp?DDFDocuments/t/G/TBTN23/USA2062A1.DOCX")</f>
      </c>
      <c r="P180" s="6">
        <f>HYPERLINK("https://docs.wto.org/imrd/directdoc.asp?DDFDocuments/u/G/TBTN23/USA2062A1.DOCX", "https://docs.wto.org/imrd/directdoc.asp?DDFDocuments/u/G/TBTN23/USA2062A1.DOCX")</f>
      </c>
      <c r="Q180" s="6">
        <f>HYPERLINK("https://docs.wto.org/imrd/directdoc.asp?DDFDocuments/v/G/TBTN23/USA2062A1.DOCX", "https://docs.wto.org/imrd/directdoc.asp?DDFDocuments/v/G/TBTN23/USA2062A1.DOCX")</f>
      </c>
    </row>
    <row r="181">
      <c r="A181" s="6" t="s">
        <v>583</v>
      </c>
      <c r="B181" s="7">
        <v>45644</v>
      </c>
      <c r="C181" s="9">
        <f>HYPERLINK("https://eping.wto.org/en/Search?viewData= G/TBT/N/EGY/498"," G/TBT/N/EGY/498")</f>
      </c>
      <c r="D181" s="8" t="s">
        <v>833</v>
      </c>
      <c r="E181" s="8" t="s">
        <v>834</v>
      </c>
      <c r="F181" s="8" t="s">
        <v>803</v>
      </c>
      <c r="G181" s="8" t="s">
        <v>22</v>
      </c>
      <c r="H181" s="8" t="s">
        <v>804</v>
      </c>
      <c r="I181" s="8" t="s">
        <v>805</v>
      </c>
      <c r="J181" s="8" t="s">
        <v>22</v>
      </c>
      <c r="K181" s="6"/>
      <c r="L181" s="7">
        <v>45704</v>
      </c>
      <c r="M181" s="6" t="s">
        <v>32</v>
      </c>
      <c r="N181" s="6"/>
      <c r="O181" s="6">
        <f>HYPERLINK("https://docs.wto.org/imrd/directdoc.asp?DDFDocuments/t/G/TBTN24/EGY498.DOCX", "https://docs.wto.org/imrd/directdoc.asp?DDFDocuments/t/G/TBTN24/EGY498.DOCX")</f>
      </c>
      <c r="P181" s="6">
        <f>HYPERLINK("https://docs.wto.org/imrd/directdoc.asp?DDFDocuments/u/G/TBTN24/EGY498.DOCX", "https://docs.wto.org/imrd/directdoc.asp?DDFDocuments/u/G/TBTN24/EGY498.DOCX")</f>
      </c>
      <c r="Q181" s="6">
        <f>HYPERLINK("https://docs.wto.org/imrd/directdoc.asp?DDFDocuments/v/G/TBTN24/EGY498.DOCX", "https://docs.wto.org/imrd/directdoc.asp?DDFDocuments/v/G/TBTN24/EGY498.DOCX")</f>
      </c>
    </row>
    <row r="182">
      <c r="A182" s="6" t="s">
        <v>732</v>
      </c>
      <c r="B182" s="7">
        <v>45644</v>
      </c>
      <c r="C182" s="9">
        <f>HYPERLINK("https://eping.wto.org/en/Search?viewData= G/TBT/N/MEX/541"," G/TBT/N/MEX/541")</f>
      </c>
      <c r="D182" s="8" t="s">
        <v>835</v>
      </c>
      <c r="E182" s="8" t="s">
        <v>836</v>
      </c>
      <c r="F182" s="8" t="s">
        <v>837</v>
      </c>
      <c r="G182" s="8" t="s">
        <v>22</v>
      </c>
      <c r="H182" s="8" t="s">
        <v>838</v>
      </c>
      <c r="I182" s="8" t="s">
        <v>839</v>
      </c>
      <c r="J182" s="8" t="s">
        <v>22</v>
      </c>
      <c r="K182" s="6"/>
      <c r="L182" s="7">
        <v>45704</v>
      </c>
      <c r="M182" s="6" t="s">
        <v>32</v>
      </c>
      <c r="N182" s="8" t="s">
        <v>840</v>
      </c>
      <c r="O182" s="6">
        <f>HYPERLINK("https://docs.wto.org/imrd/directdoc.asp?DDFDocuments/t/G/TBTN24/MEX541.DOCX", "https://docs.wto.org/imrd/directdoc.asp?DDFDocuments/t/G/TBTN24/MEX541.DOCX")</f>
      </c>
      <c r="P182" s="6">
        <f>HYPERLINK("https://docs.wto.org/imrd/directdoc.asp?DDFDocuments/u/G/TBTN24/MEX541.DOCX", "https://docs.wto.org/imrd/directdoc.asp?DDFDocuments/u/G/TBTN24/MEX541.DOCX")</f>
      </c>
      <c r="Q182" s="6">
        <f>HYPERLINK("https://docs.wto.org/imrd/directdoc.asp?DDFDocuments/v/G/TBTN24/MEX541.DOCX", "https://docs.wto.org/imrd/directdoc.asp?DDFDocuments/v/G/TBTN24/MEX541.DOCX")</f>
      </c>
    </row>
    <row r="183">
      <c r="A183" s="6" t="s">
        <v>400</v>
      </c>
      <c r="B183" s="7">
        <v>45643</v>
      </c>
      <c r="C183" s="9">
        <f>HYPERLINK("https://eping.wto.org/en/Search?viewData= G/TBT/N/USA/2029/Add.1"," G/TBT/N/USA/2029/Add.1")</f>
      </c>
      <c r="D183" s="8" t="s">
        <v>841</v>
      </c>
      <c r="E183" s="8" t="s">
        <v>842</v>
      </c>
      <c r="F183" s="8" t="s">
        <v>843</v>
      </c>
      <c r="G183" s="8" t="s">
        <v>22</v>
      </c>
      <c r="H183" s="8" t="s">
        <v>844</v>
      </c>
      <c r="I183" s="8" t="s">
        <v>845</v>
      </c>
      <c r="J183" s="8" t="s">
        <v>22</v>
      </c>
      <c r="K183" s="6"/>
      <c r="L183" s="7" t="s">
        <v>22</v>
      </c>
      <c r="M183" s="6" t="s">
        <v>40</v>
      </c>
      <c r="N183" s="8" t="s">
        <v>846</v>
      </c>
      <c r="O183" s="6">
        <f>HYPERLINK("https://docs.wto.org/imrd/directdoc.asp?DDFDocuments/t/G/TBTN23/USA2029A1.DOCX", "https://docs.wto.org/imrd/directdoc.asp?DDFDocuments/t/G/TBTN23/USA2029A1.DOCX")</f>
      </c>
      <c r="P183" s="6">
        <f>HYPERLINK("https://docs.wto.org/imrd/directdoc.asp?DDFDocuments/u/G/TBTN23/USA2029A1.DOCX", "https://docs.wto.org/imrd/directdoc.asp?DDFDocuments/u/G/TBTN23/USA2029A1.DOCX")</f>
      </c>
      <c r="Q183" s="6">
        <f>HYPERLINK("https://docs.wto.org/imrd/directdoc.asp?DDFDocuments/v/G/TBTN23/USA2029A1.DOCX", "https://docs.wto.org/imrd/directdoc.asp?DDFDocuments/v/G/TBTN23/USA2029A1.DOCX")</f>
      </c>
    </row>
    <row r="184">
      <c r="A184" s="6" t="s">
        <v>847</v>
      </c>
      <c r="B184" s="7">
        <v>45643</v>
      </c>
      <c r="C184" s="9">
        <f>HYPERLINK("https://eping.wto.org/en/Search?viewData= G/TBT/N/UKR/305/Add.1"," G/TBT/N/UKR/305/Add.1")</f>
      </c>
      <c r="D184" s="8" t="s">
        <v>848</v>
      </c>
      <c r="E184" s="8" t="s">
        <v>849</v>
      </c>
      <c r="F184" s="8" t="s">
        <v>850</v>
      </c>
      <c r="G184" s="8" t="s">
        <v>22</v>
      </c>
      <c r="H184" s="8" t="s">
        <v>851</v>
      </c>
      <c r="I184" s="8" t="s">
        <v>852</v>
      </c>
      <c r="J184" s="8" t="s">
        <v>22</v>
      </c>
      <c r="K184" s="6"/>
      <c r="L184" s="7" t="s">
        <v>22</v>
      </c>
      <c r="M184" s="6" t="s">
        <v>40</v>
      </c>
      <c r="N184" s="8" t="s">
        <v>853</v>
      </c>
      <c r="O184" s="6">
        <f>HYPERLINK("https://docs.wto.org/imrd/directdoc.asp?DDFDocuments/t/G/TBTN24/UKR305A1.DOCX", "https://docs.wto.org/imrd/directdoc.asp?DDFDocuments/t/G/TBTN24/UKR305A1.DOCX")</f>
      </c>
      <c r="P184" s="6">
        <f>HYPERLINK("https://docs.wto.org/imrd/directdoc.asp?DDFDocuments/u/G/TBTN24/UKR305A1.DOCX", "https://docs.wto.org/imrd/directdoc.asp?DDFDocuments/u/G/TBTN24/UKR305A1.DOCX")</f>
      </c>
      <c r="Q184" s="6">
        <f>HYPERLINK("https://docs.wto.org/imrd/directdoc.asp?DDFDocuments/v/G/TBTN24/UKR305A1.DOCX", "https://docs.wto.org/imrd/directdoc.asp?DDFDocuments/v/G/TBTN24/UKR305A1.DOCX")</f>
      </c>
    </row>
    <row r="185">
      <c r="A185" s="6" t="s">
        <v>360</v>
      </c>
      <c r="B185" s="7">
        <v>45643</v>
      </c>
      <c r="C185" s="9">
        <f>HYPERLINK("https://eping.wto.org/en/Search?viewData= G/SPS/N/CHL/812"," G/SPS/N/CHL/812")</f>
      </c>
      <c r="D185" s="8" t="s">
        <v>854</v>
      </c>
      <c r="E185" s="8" t="s">
        <v>855</v>
      </c>
      <c r="F185" s="8" t="s">
        <v>223</v>
      </c>
      <c r="G185" s="8" t="s">
        <v>224</v>
      </c>
      <c r="H185" s="8" t="s">
        <v>22</v>
      </c>
      <c r="I185" s="8" t="s">
        <v>128</v>
      </c>
      <c r="J185" s="8" t="s">
        <v>856</v>
      </c>
      <c r="K185" s="6" t="s">
        <v>130</v>
      </c>
      <c r="L185" s="7">
        <v>45687</v>
      </c>
      <c r="M185" s="6" t="s">
        <v>32</v>
      </c>
      <c r="N185" s="8" t="s">
        <v>857</v>
      </c>
      <c r="O185" s="6">
        <f>HYPERLINK("https://docs.wto.org/imrd/directdoc.asp?DDFDocuments/t/G/SPS/NCHL812.DOCX", "https://docs.wto.org/imrd/directdoc.asp?DDFDocuments/t/G/SPS/NCHL812.DOCX")</f>
      </c>
      <c r="P185" s="6">
        <f>HYPERLINK("https://docs.wto.org/imrd/directdoc.asp?DDFDocuments/u/G/SPS/NCHL812.DOCX", "https://docs.wto.org/imrd/directdoc.asp?DDFDocuments/u/G/SPS/NCHL812.DOCX")</f>
      </c>
      <c r="Q185" s="6">
        <f>HYPERLINK("https://docs.wto.org/imrd/directdoc.asp?DDFDocuments/v/G/SPS/NCHL812.DOCX", "https://docs.wto.org/imrd/directdoc.asp?DDFDocuments/v/G/SPS/NCHL812.DOCX")</f>
      </c>
    </row>
    <row r="186">
      <c r="A186" s="6" t="s">
        <v>496</v>
      </c>
      <c r="B186" s="7">
        <v>45643</v>
      </c>
      <c r="C186" s="9">
        <f>HYPERLINK("https://eping.wto.org/en/Search?viewData= G/SPS/N/GBR/77"," G/SPS/N/GBR/77")</f>
      </c>
      <c r="D186" s="8" t="s">
        <v>858</v>
      </c>
      <c r="E186" s="8" t="s">
        <v>859</v>
      </c>
      <c r="F186" s="8" t="s">
        <v>860</v>
      </c>
      <c r="G186" s="8" t="s">
        <v>22</v>
      </c>
      <c r="H186" s="8" t="s">
        <v>22</v>
      </c>
      <c r="I186" s="8" t="s">
        <v>175</v>
      </c>
      <c r="J186" s="8" t="s">
        <v>337</v>
      </c>
      <c r="K186" s="6" t="s">
        <v>22</v>
      </c>
      <c r="L186" s="7" t="s">
        <v>22</v>
      </c>
      <c r="M186" s="6" t="s">
        <v>32</v>
      </c>
      <c r="N186" s="8" t="s">
        <v>861</v>
      </c>
      <c r="O186" s="6">
        <f>HYPERLINK("https://docs.wto.org/imrd/directdoc.asp?DDFDocuments/t/G/SPS/NGBR77.DOCX", "https://docs.wto.org/imrd/directdoc.asp?DDFDocuments/t/G/SPS/NGBR77.DOCX")</f>
      </c>
      <c r="P186" s="6">
        <f>HYPERLINK("https://docs.wto.org/imrd/directdoc.asp?DDFDocuments/u/G/SPS/NGBR77.DOCX", "https://docs.wto.org/imrd/directdoc.asp?DDFDocuments/u/G/SPS/NGBR77.DOCX")</f>
      </c>
      <c r="Q186" s="6">
        <f>HYPERLINK("https://docs.wto.org/imrd/directdoc.asp?DDFDocuments/v/G/SPS/NGBR77.DOCX", "https://docs.wto.org/imrd/directdoc.asp?DDFDocuments/v/G/SPS/NGBR77.DOCX")</f>
      </c>
    </row>
    <row r="187">
      <c r="A187" s="6" t="s">
        <v>68</v>
      </c>
      <c r="B187" s="7">
        <v>45643</v>
      </c>
      <c r="C187" s="9">
        <f>HYPERLINK("https://eping.wto.org/en/Search?viewData= G/SPS/N/UGA/399"," G/SPS/N/UGA/399")</f>
      </c>
      <c r="D187" s="8" t="s">
        <v>862</v>
      </c>
      <c r="E187" s="8" t="s">
        <v>863</v>
      </c>
      <c r="F187" s="8" t="s">
        <v>864</v>
      </c>
      <c r="G187" s="8" t="s">
        <v>865</v>
      </c>
      <c r="H187" s="8" t="s">
        <v>866</v>
      </c>
      <c r="I187" s="8" t="s">
        <v>120</v>
      </c>
      <c r="J187" s="8" t="s">
        <v>255</v>
      </c>
      <c r="K187" s="6"/>
      <c r="L187" s="7">
        <v>45703</v>
      </c>
      <c r="M187" s="6" t="s">
        <v>32</v>
      </c>
      <c r="N187" s="8" t="s">
        <v>867</v>
      </c>
      <c r="O187" s="6">
        <f>HYPERLINK("https://docs.wto.org/imrd/directdoc.asp?DDFDocuments/t/G/SPS/NUGA399.DOCX", "https://docs.wto.org/imrd/directdoc.asp?DDFDocuments/t/G/SPS/NUGA399.DOCX")</f>
      </c>
      <c r="P187" s="6">
        <f>HYPERLINK("https://docs.wto.org/imrd/directdoc.asp?DDFDocuments/u/G/SPS/NUGA399.DOCX", "https://docs.wto.org/imrd/directdoc.asp?DDFDocuments/u/G/SPS/NUGA399.DOCX")</f>
      </c>
      <c r="Q187" s="6">
        <f>HYPERLINK("https://docs.wto.org/imrd/directdoc.asp?DDFDocuments/v/G/SPS/NUGA399.DOCX", "https://docs.wto.org/imrd/directdoc.asp?DDFDocuments/v/G/SPS/NUGA399.DOCX")</f>
      </c>
    </row>
    <row r="188">
      <c r="A188" s="6" t="s">
        <v>68</v>
      </c>
      <c r="B188" s="7">
        <v>45643</v>
      </c>
      <c r="C188" s="9">
        <f>HYPERLINK("https://eping.wto.org/en/Search?viewData= G/SPS/N/UGA/407"," G/SPS/N/UGA/407")</f>
      </c>
      <c r="D188" s="8" t="s">
        <v>868</v>
      </c>
      <c r="E188" s="8" t="s">
        <v>869</v>
      </c>
      <c r="F188" s="8" t="s">
        <v>870</v>
      </c>
      <c r="G188" s="8" t="s">
        <v>871</v>
      </c>
      <c r="H188" s="8" t="s">
        <v>872</v>
      </c>
      <c r="I188" s="8" t="s">
        <v>120</v>
      </c>
      <c r="J188" s="8" t="s">
        <v>416</v>
      </c>
      <c r="K188" s="6"/>
      <c r="L188" s="7">
        <v>45703</v>
      </c>
      <c r="M188" s="6" t="s">
        <v>32</v>
      </c>
      <c r="N188" s="8" t="s">
        <v>873</v>
      </c>
      <c r="O188" s="6">
        <f>HYPERLINK("https://docs.wto.org/imrd/directdoc.asp?DDFDocuments/t/G/SPS/NUGA407.DOCX", "https://docs.wto.org/imrd/directdoc.asp?DDFDocuments/t/G/SPS/NUGA407.DOCX")</f>
      </c>
      <c r="P188" s="6">
        <f>HYPERLINK("https://docs.wto.org/imrd/directdoc.asp?DDFDocuments/u/G/SPS/NUGA407.DOCX", "https://docs.wto.org/imrd/directdoc.asp?DDFDocuments/u/G/SPS/NUGA407.DOCX")</f>
      </c>
      <c r="Q188" s="6">
        <f>HYPERLINK("https://docs.wto.org/imrd/directdoc.asp?DDFDocuments/v/G/SPS/NUGA407.DOCX", "https://docs.wto.org/imrd/directdoc.asp?DDFDocuments/v/G/SPS/NUGA407.DOCX")</f>
      </c>
    </row>
    <row r="189">
      <c r="A189" s="6" t="s">
        <v>874</v>
      </c>
      <c r="B189" s="7">
        <v>45643</v>
      </c>
      <c r="C189" s="9">
        <f>HYPERLINK("https://eping.wto.org/en/Search?viewData= G/TBT/N/PHL/330/Add.2"," G/TBT/N/PHL/330/Add.2")</f>
      </c>
      <c r="D189" s="8" t="s">
        <v>875</v>
      </c>
      <c r="E189" s="8" t="s">
        <v>22</v>
      </c>
      <c r="F189" s="8" t="s">
        <v>876</v>
      </c>
      <c r="G189" s="8" t="s">
        <v>877</v>
      </c>
      <c r="H189" s="8" t="s">
        <v>741</v>
      </c>
      <c r="I189" s="8" t="s">
        <v>39</v>
      </c>
      <c r="J189" s="8" t="s">
        <v>266</v>
      </c>
      <c r="K189" s="6"/>
      <c r="L189" s="7">
        <v>45645</v>
      </c>
      <c r="M189" s="6" t="s">
        <v>40</v>
      </c>
      <c r="N189" s="8" t="s">
        <v>878</v>
      </c>
      <c r="O189" s="6">
        <f>HYPERLINK("https://docs.wto.org/imrd/directdoc.asp?DDFDocuments/t/G/TBTN24/PHL330A2.DOCX", "https://docs.wto.org/imrd/directdoc.asp?DDFDocuments/t/G/TBTN24/PHL330A2.DOCX")</f>
      </c>
      <c r="P189" s="6">
        <f>HYPERLINK("https://docs.wto.org/imrd/directdoc.asp?DDFDocuments/u/G/TBTN24/PHL330A2.DOCX", "https://docs.wto.org/imrd/directdoc.asp?DDFDocuments/u/G/TBTN24/PHL330A2.DOCX")</f>
      </c>
      <c r="Q189" s="6">
        <f>HYPERLINK("https://docs.wto.org/imrd/directdoc.asp?DDFDocuments/v/G/TBTN24/PHL330A2.DOCX", "https://docs.wto.org/imrd/directdoc.asp?DDFDocuments/v/G/TBTN24/PHL330A2.DOCX")</f>
      </c>
    </row>
    <row r="190">
      <c r="A190" s="6" t="s">
        <v>847</v>
      </c>
      <c r="B190" s="7">
        <v>45643</v>
      </c>
      <c r="C190" s="9">
        <f>HYPERLINK("https://eping.wto.org/en/Search?viewData= G/TBT/N/UKR/326"," G/TBT/N/UKR/326")</f>
      </c>
      <c r="D190" s="8" t="s">
        <v>879</v>
      </c>
      <c r="E190" s="8" t="s">
        <v>880</v>
      </c>
      <c r="F190" s="8" t="s">
        <v>881</v>
      </c>
      <c r="G190" s="8" t="s">
        <v>22</v>
      </c>
      <c r="H190" s="8" t="s">
        <v>882</v>
      </c>
      <c r="I190" s="8" t="s">
        <v>641</v>
      </c>
      <c r="J190" s="8" t="s">
        <v>139</v>
      </c>
      <c r="K190" s="6"/>
      <c r="L190" s="7">
        <v>45703</v>
      </c>
      <c r="M190" s="6" t="s">
        <v>32</v>
      </c>
      <c r="N190" s="8" t="s">
        <v>883</v>
      </c>
      <c r="O190" s="6">
        <f>HYPERLINK("https://docs.wto.org/imrd/directdoc.asp?DDFDocuments/t/G/TBTN24/UKR326.DOCX", "https://docs.wto.org/imrd/directdoc.asp?DDFDocuments/t/G/TBTN24/UKR326.DOCX")</f>
      </c>
      <c r="P190" s="6">
        <f>HYPERLINK("https://docs.wto.org/imrd/directdoc.asp?DDFDocuments/u/G/TBTN24/UKR326.DOCX", "https://docs.wto.org/imrd/directdoc.asp?DDFDocuments/u/G/TBTN24/UKR326.DOCX")</f>
      </c>
      <c r="Q190" s="6">
        <f>HYPERLINK("https://docs.wto.org/imrd/directdoc.asp?DDFDocuments/v/G/TBTN24/UKR326.DOCX", "https://docs.wto.org/imrd/directdoc.asp?DDFDocuments/v/G/TBTN24/UKR326.DOCX")</f>
      </c>
    </row>
    <row r="191">
      <c r="A191" s="6" t="s">
        <v>68</v>
      </c>
      <c r="B191" s="7">
        <v>45643</v>
      </c>
      <c r="C191" s="9">
        <f>HYPERLINK("https://eping.wto.org/en/Search?viewData= G/SPS/N/UGA/402"," G/SPS/N/UGA/402")</f>
      </c>
      <c r="D191" s="8" t="s">
        <v>884</v>
      </c>
      <c r="E191" s="8" t="s">
        <v>885</v>
      </c>
      <c r="F191" s="8" t="s">
        <v>886</v>
      </c>
      <c r="G191" s="8" t="s">
        <v>887</v>
      </c>
      <c r="H191" s="8" t="s">
        <v>866</v>
      </c>
      <c r="I191" s="8" t="s">
        <v>120</v>
      </c>
      <c r="J191" s="8" t="s">
        <v>255</v>
      </c>
      <c r="K191" s="6"/>
      <c r="L191" s="7">
        <v>45703</v>
      </c>
      <c r="M191" s="6" t="s">
        <v>32</v>
      </c>
      <c r="N191" s="8" t="s">
        <v>888</v>
      </c>
      <c r="O191" s="6">
        <f>HYPERLINK("https://docs.wto.org/imrd/directdoc.asp?DDFDocuments/t/G/SPS/NUGA402.DOCX", "https://docs.wto.org/imrd/directdoc.asp?DDFDocuments/t/G/SPS/NUGA402.DOCX")</f>
      </c>
      <c r="P191" s="6">
        <f>HYPERLINK("https://docs.wto.org/imrd/directdoc.asp?DDFDocuments/u/G/SPS/NUGA402.DOCX", "https://docs.wto.org/imrd/directdoc.asp?DDFDocuments/u/G/SPS/NUGA402.DOCX")</f>
      </c>
      <c r="Q191" s="6">
        <f>HYPERLINK("https://docs.wto.org/imrd/directdoc.asp?DDFDocuments/v/G/SPS/NUGA402.DOCX", "https://docs.wto.org/imrd/directdoc.asp?DDFDocuments/v/G/SPS/NUGA402.DOCX")</f>
      </c>
    </row>
    <row r="192">
      <c r="A192" s="6" t="s">
        <v>53</v>
      </c>
      <c r="B192" s="7">
        <v>45643</v>
      </c>
      <c r="C192" s="9">
        <f>HYPERLINK("https://eping.wto.org/en/Search?viewData= G/TBT/N/KEN/1718"," G/TBT/N/KEN/1718")</f>
      </c>
      <c r="D192" s="8" t="s">
        <v>889</v>
      </c>
      <c r="E192" s="8" t="s">
        <v>890</v>
      </c>
      <c r="F192" s="8" t="s">
        <v>891</v>
      </c>
      <c r="G192" s="8" t="s">
        <v>892</v>
      </c>
      <c r="H192" s="8" t="s">
        <v>893</v>
      </c>
      <c r="I192" s="8" t="s">
        <v>242</v>
      </c>
      <c r="J192" s="8" t="s">
        <v>58</v>
      </c>
      <c r="K192" s="6"/>
      <c r="L192" s="7">
        <v>45703</v>
      </c>
      <c r="M192" s="6" t="s">
        <v>32</v>
      </c>
      <c r="N192" s="8" t="s">
        <v>894</v>
      </c>
      <c r="O192" s="6">
        <f>HYPERLINK("https://docs.wto.org/imrd/directdoc.asp?DDFDocuments/t/G/TBTN24/KEN1718.DOCX", "https://docs.wto.org/imrd/directdoc.asp?DDFDocuments/t/G/TBTN24/KEN1718.DOCX")</f>
      </c>
      <c r="P192" s="6">
        <f>HYPERLINK("https://docs.wto.org/imrd/directdoc.asp?DDFDocuments/u/G/TBTN24/KEN1718.DOCX", "https://docs.wto.org/imrd/directdoc.asp?DDFDocuments/u/G/TBTN24/KEN1718.DOCX")</f>
      </c>
      <c r="Q192" s="6">
        <f>HYPERLINK("https://docs.wto.org/imrd/directdoc.asp?DDFDocuments/v/G/TBTN24/KEN1718.DOCX", "https://docs.wto.org/imrd/directdoc.asp?DDFDocuments/v/G/TBTN24/KEN1718.DOCX")</f>
      </c>
    </row>
    <row r="193">
      <c r="A193" s="6" t="s">
        <v>847</v>
      </c>
      <c r="B193" s="7">
        <v>45643</v>
      </c>
      <c r="C193" s="9">
        <f>HYPERLINK("https://eping.wto.org/en/Search?viewData= G/SPS/N/UKR/232"," G/SPS/N/UKR/232")</f>
      </c>
      <c r="D193" s="8" t="s">
        <v>895</v>
      </c>
      <c r="E193" s="8" t="s">
        <v>896</v>
      </c>
      <c r="F193" s="8" t="s">
        <v>897</v>
      </c>
      <c r="G193" s="8" t="s">
        <v>898</v>
      </c>
      <c r="H193" s="8" t="s">
        <v>22</v>
      </c>
      <c r="I193" s="8" t="s">
        <v>120</v>
      </c>
      <c r="J193" s="8" t="s">
        <v>899</v>
      </c>
      <c r="K193" s="6" t="s">
        <v>22</v>
      </c>
      <c r="L193" s="7" t="s">
        <v>22</v>
      </c>
      <c r="M193" s="6" t="s">
        <v>32</v>
      </c>
      <c r="N193" s="8" t="s">
        <v>900</v>
      </c>
      <c r="O193" s="6">
        <f>HYPERLINK("https://docs.wto.org/imrd/directdoc.asp?DDFDocuments/t/G/SPS/NUKR232.DOCX", "https://docs.wto.org/imrd/directdoc.asp?DDFDocuments/t/G/SPS/NUKR232.DOCX")</f>
      </c>
      <c r="P193" s="6">
        <f>HYPERLINK("https://docs.wto.org/imrd/directdoc.asp?DDFDocuments/u/G/SPS/NUKR232.DOCX", "https://docs.wto.org/imrd/directdoc.asp?DDFDocuments/u/G/SPS/NUKR232.DOCX")</f>
      </c>
      <c r="Q193" s="6">
        <f>HYPERLINK("https://docs.wto.org/imrd/directdoc.asp?DDFDocuments/v/G/SPS/NUKR232.DOCX", "https://docs.wto.org/imrd/directdoc.asp?DDFDocuments/v/G/SPS/NUKR232.DOCX")</f>
      </c>
    </row>
    <row r="194">
      <c r="A194" s="6" t="s">
        <v>53</v>
      </c>
      <c r="B194" s="7">
        <v>45643</v>
      </c>
      <c r="C194" s="9">
        <f>HYPERLINK("https://eping.wto.org/en/Search?viewData= G/TBT/N/KEN/1719"," G/TBT/N/KEN/1719")</f>
      </c>
      <c r="D194" s="8" t="s">
        <v>901</v>
      </c>
      <c r="E194" s="8" t="s">
        <v>902</v>
      </c>
      <c r="F194" s="8" t="s">
        <v>903</v>
      </c>
      <c r="G194" s="8" t="s">
        <v>904</v>
      </c>
      <c r="H194" s="8" t="s">
        <v>893</v>
      </c>
      <c r="I194" s="8" t="s">
        <v>242</v>
      </c>
      <c r="J194" s="8" t="s">
        <v>58</v>
      </c>
      <c r="K194" s="6"/>
      <c r="L194" s="7">
        <v>45703</v>
      </c>
      <c r="M194" s="6" t="s">
        <v>32</v>
      </c>
      <c r="N194" s="8" t="s">
        <v>905</v>
      </c>
      <c r="O194" s="6">
        <f>HYPERLINK("https://docs.wto.org/imrd/directdoc.asp?DDFDocuments/t/G/TBTN24/KEN1719.DOCX", "https://docs.wto.org/imrd/directdoc.asp?DDFDocuments/t/G/TBTN24/KEN1719.DOCX")</f>
      </c>
      <c r="P194" s="6">
        <f>HYPERLINK("https://docs.wto.org/imrd/directdoc.asp?DDFDocuments/u/G/TBTN24/KEN1719.DOCX", "https://docs.wto.org/imrd/directdoc.asp?DDFDocuments/u/G/TBTN24/KEN1719.DOCX")</f>
      </c>
      <c r="Q194" s="6">
        <f>HYPERLINK("https://docs.wto.org/imrd/directdoc.asp?DDFDocuments/v/G/TBTN24/KEN1719.DOCX", "https://docs.wto.org/imrd/directdoc.asp?DDFDocuments/v/G/TBTN24/KEN1719.DOCX")</f>
      </c>
    </row>
    <row r="195">
      <c r="A195" s="6" t="s">
        <v>53</v>
      </c>
      <c r="B195" s="7">
        <v>45643</v>
      </c>
      <c r="C195" s="9">
        <f>HYPERLINK("https://eping.wto.org/en/Search?viewData= G/TBT/N/KEN/1717"," G/TBT/N/KEN/1717")</f>
      </c>
      <c r="D195" s="8" t="s">
        <v>906</v>
      </c>
      <c r="E195" s="8" t="s">
        <v>907</v>
      </c>
      <c r="F195" s="8" t="s">
        <v>908</v>
      </c>
      <c r="G195" s="8" t="s">
        <v>909</v>
      </c>
      <c r="H195" s="8" t="s">
        <v>910</v>
      </c>
      <c r="I195" s="8" t="s">
        <v>203</v>
      </c>
      <c r="J195" s="8" t="s">
        <v>22</v>
      </c>
      <c r="K195" s="6"/>
      <c r="L195" s="7" t="s">
        <v>22</v>
      </c>
      <c r="M195" s="6" t="s">
        <v>32</v>
      </c>
      <c r="N195" s="8" t="s">
        <v>911</v>
      </c>
      <c r="O195" s="6">
        <f>HYPERLINK("https://docs.wto.org/imrd/directdoc.asp?DDFDocuments/t/G/TBTN24/KEN1717.DOCX", "https://docs.wto.org/imrd/directdoc.asp?DDFDocuments/t/G/TBTN24/KEN1717.DOCX")</f>
      </c>
      <c r="P195" s="6">
        <f>HYPERLINK("https://docs.wto.org/imrd/directdoc.asp?DDFDocuments/u/G/TBTN24/KEN1717.DOCX", "https://docs.wto.org/imrd/directdoc.asp?DDFDocuments/u/G/TBTN24/KEN1717.DOCX")</f>
      </c>
      <c r="Q195" s="6">
        <f>HYPERLINK("https://docs.wto.org/imrd/directdoc.asp?DDFDocuments/v/G/TBTN24/KEN1717.DOCX", "https://docs.wto.org/imrd/directdoc.asp?DDFDocuments/v/G/TBTN24/KEN1717.DOCX")</f>
      </c>
    </row>
    <row r="196">
      <c r="A196" s="6" t="s">
        <v>68</v>
      </c>
      <c r="B196" s="7">
        <v>45643</v>
      </c>
      <c r="C196" s="9">
        <f>HYPERLINK("https://eping.wto.org/en/Search?viewData= G/SPS/N/UGA/405"," G/SPS/N/UGA/405")</f>
      </c>
      <c r="D196" s="8" t="s">
        <v>912</v>
      </c>
      <c r="E196" s="8" t="s">
        <v>913</v>
      </c>
      <c r="F196" s="8" t="s">
        <v>914</v>
      </c>
      <c r="G196" s="8" t="s">
        <v>915</v>
      </c>
      <c r="H196" s="8" t="s">
        <v>872</v>
      </c>
      <c r="I196" s="8" t="s">
        <v>120</v>
      </c>
      <c r="J196" s="8" t="s">
        <v>416</v>
      </c>
      <c r="K196" s="6"/>
      <c r="L196" s="7">
        <v>45703</v>
      </c>
      <c r="M196" s="6" t="s">
        <v>32</v>
      </c>
      <c r="N196" s="8" t="s">
        <v>916</v>
      </c>
      <c r="O196" s="6">
        <f>HYPERLINK("https://docs.wto.org/imrd/directdoc.asp?DDFDocuments/t/G/SPS/NUGA405.DOCX", "https://docs.wto.org/imrd/directdoc.asp?DDFDocuments/t/G/SPS/NUGA405.DOCX")</f>
      </c>
      <c r="P196" s="6">
        <f>HYPERLINK("https://docs.wto.org/imrd/directdoc.asp?DDFDocuments/u/G/SPS/NUGA405.DOCX", "https://docs.wto.org/imrd/directdoc.asp?DDFDocuments/u/G/SPS/NUGA405.DOCX")</f>
      </c>
      <c r="Q196" s="6">
        <f>HYPERLINK("https://docs.wto.org/imrd/directdoc.asp?DDFDocuments/v/G/SPS/NUGA405.DOCX", "https://docs.wto.org/imrd/directdoc.asp?DDFDocuments/v/G/SPS/NUGA405.DOCX")</f>
      </c>
    </row>
    <row r="197">
      <c r="A197" s="6" t="s">
        <v>53</v>
      </c>
      <c r="B197" s="7">
        <v>45643</v>
      </c>
      <c r="C197" s="9">
        <f>HYPERLINK("https://eping.wto.org/en/Search?viewData= G/TBT/N/KEN/1720"," G/TBT/N/KEN/1720")</f>
      </c>
      <c r="D197" s="8" t="s">
        <v>917</v>
      </c>
      <c r="E197" s="8" t="s">
        <v>918</v>
      </c>
      <c r="F197" s="8" t="s">
        <v>903</v>
      </c>
      <c r="G197" s="8" t="s">
        <v>904</v>
      </c>
      <c r="H197" s="8" t="s">
        <v>893</v>
      </c>
      <c r="I197" s="8" t="s">
        <v>242</v>
      </c>
      <c r="J197" s="8" t="s">
        <v>58</v>
      </c>
      <c r="K197" s="6"/>
      <c r="L197" s="7">
        <v>45703</v>
      </c>
      <c r="M197" s="6" t="s">
        <v>32</v>
      </c>
      <c r="N197" s="8" t="s">
        <v>919</v>
      </c>
      <c r="O197" s="6">
        <f>HYPERLINK("https://docs.wto.org/imrd/directdoc.asp?DDFDocuments/t/G/TBTN24/KEN1720.DOCX", "https://docs.wto.org/imrd/directdoc.asp?DDFDocuments/t/G/TBTN24/KEN1720.DOCX")</f>
      </c>
      <c r="P197" s="6">
        <f>HYPERLINK("https://docs.wto.org/imrd/directdoc.asp?DDFDocuments/u/G/TBTN24/KEN1720.DOCX", "https://docs.wto.org/imrd/directdoc.asp?DDFDocuments/u/G/TBTN24/KEN1720.DOCX")</f>
      </c>
      <c r="Q197" s="6">
        <f>HYPERLINK("https://docs.wto.org/imrd/directdoc.asp?DDFDocuments/v/G/TBTN24/KEN1720.DOCX", "https://docs.wto.org/imrd/directdoc.asp?DDFDocuments/v/G/TBTN24/KEN1720.DOCX")</f>
      </c>
    </row>
    <row r="198">
      <c r="A198" s="6" t="s">
        <v>400</v>
      </c>
      <c r="B198" s="7">
        <v>45643</v>
      </c>
      <c r="C198" s="9">
        <f>HYPERLINK("https://eping.wto.org/en/Search?viewData= G/TBT/N/USA/2170"," G/TBT/N/USA/2170")</f>
      </c>
      <c r="D198" s="8" t="s">
        <v>920</v>
      </c>
      <c r="E198" s="8" t="s">
        <v>921</v>
      </c>
      <c r="F198" s="8" t="s">
        <v>922</v>
      </c>
      <c r="G198" s="8" t="s">
        <v>22</v>
      </c>
      <c r="H198" s="8" t="s">
        <v>923</v>
      </c>
      <c r="I198" s="8" t="s">
        <v>619</v>
      </c>
      <c r="J198" s="8" t="s">
        <v>22</v>
      </c>
      <c r="K198" s="6"/>
      <c r="L198" s="7">
        <v>45729</v>
      </c>
      <c r="M198" s="6" t="s">
        <v>32</v>
      </c>
      <c r="N198" s="8" t="s">
        <v>924</v>
      </c>
      <c r="O198" s="6">
        <f>HYPERLINK("https://docs.wto.org/imrd/directdoc.asp?DDFDocuments/t/G/TBTN24/USA2170.DOCX", "https://docs.wto.org/imrd/directdoc.asp?DDFDocuments/t/G/TBTN24/USA2170.DOCX")</f>
      </c>
      <c r="P198" s="6">
        <f>HYPERLINK("https://docs.wto.org/imrd/directdoc.asp?DDFDocuments/u/G/TBTN24/USA2170.DOCX", "https://docs.wto.org/imrd/directdoc.asp?DDFDocuments/u/G/TBTN24/USA2170.DOCX")</f>
      </c>
      <c r="Q198" s="6">
        <f>HYPERLINK("https://docs.wto.org/imrd/directdoc.asp?DDFDocuments/v/G/TBTN24/USA2170.DOCX", "https://docs.wto.org/imrd/directdoc.asp?DDFDocuments/v/G/TBTN24/USA2170.DOCX")</f>
      </c>
    </row>
    <row r="199">
      <c r="A199" s="6" t="s">
        <v>496</v>
      </c>
      <c r="B199" s="7">
        <v>45643</v>
      </c>
      <c r="C199" s="9">
        <f>HYPERLINK("https://eping.wto.org/en/Search?viewData= G/SPS/N/GBR/67/Add.1"," G/SPS/N/GBR/67/Add.1")</f>
      </c>
      <c r="D199" s="8" t="s">
        <v>925</v>
      </c>
      <c r="E199" s="8" t="s">
        <v>926</v>
      </c>
      <c r="F199" s="8" t="s">
        <v>927</v>
      </c>
      <c r="G199" s="8" t="s">
        <v>22</v>
      </c>
      <c r="H199" s="8" t="s">
        <v>22</v>
      </c>
      <c r="I199" s="8" t="s">
        <v>390</v>
      </c>
      <c r="J199" s="8" t="s">
        <v>928</v>
      </c>
      <c r="K199" s="6"/>
      <c r="L199" s="7" t="s">
        <v>22</v>
      </c>
      <c r="M199" s="6" t="s">
        <v>40</v>
      </c>
      <c r="N199" s="8" t="s">
        <v>929</v>
      </c>
      <c r="O199" s="6">
        <f>HYPERLINK("https://docs.wto.org/imrd/directdoc.asp?DDFDocuments/t/G/SPS/NGBR67A1.DOCX", "https://docs.wto.org/imrd/directdoc.asp?DDFDocuments/t/G/SPS/NGBR67A1.DOCX")</f>
      </c>
      <c r="P199" s="6">
        <f>HYPERLINK("https://docs.wto.org/imrd/directdoc.asp?DDFDocuments/u/G/SPS/NGBR67A1.DOCX", "https://docs.wto.org/imrd/directdoc.asp?DDFDocuments/u/G/SPS/NGBR67A1.DOCX")</f>
      </c>
      <c r="Q199" s="6">
        <f>HYPERLINK("https://docs.wto.org/imrd/directdoc.asp?DDFDocuments/v/G/SPS/NGBR67A1.DOCX", "https://docs.wto.org/imrd/directdoc.asp?DDFDocuments/v/G/SPS/NGBR67A1.DOCX")</f>
      </c>
    </row>
    <row r="200">
      <c r="A200" s="6" t="s">
        <v>130</v>
      </c>
      <c r="B200" s="7">
        <v>45643</v>
      </c>
      <c r="C200" s="9">
        <f>HYPERLINK("https://eping.wto.org/en/Search?viewData= G/TBT/N/ARG/457/Add.1"," G/TBT/N/ARG/457/Add.1")</f>
      </c>
      <c r="D200" s="8" t="s">
        <v>930</v>
      </c>
      <c r="E200" s="8" t="s">
        <v>931</v>
      </c>
      <c r="F200" s="8" t="s">
        <v>932</v>
      </c>
      <c r="G200" s="8" t="s">
        <v>22</v>
      </c>
      <c r="H200" s="8" t="s">
        <v>202</v>
      </c>
      <c r="I200" s="8" t="s">
        <v>933</v>
      </c>
      <c r="J200" s="8" t="s">
        <v>22</v>
      </c>
      <c r="K200" s="6"/>
      <c r="L200" s="7" t="s">
        <v>22</v>
      </c>
      <c r="M200" s="6" t="s">
        <v>40</v>
      </c>
      <c r="N200" s="8" t="s">
        <v>934</v>
      </c>
      <c r="O200" s="6">
        <f>HYPERLINK("https://docs.wto.org/imrd/directdoc.asp?DDFDocuments/t/G/TBTN24/ARG457A1.DOCX", "https://docs.wto.org/imrd/directdoc.asp?DDFDocuments/t/G/TBTN24/ARG457A1.DOCX")</f>
      </c>
      <c r="P200" s="6">
        <f>HYPERLINK("https://docs.wto.org/imrd/directdoc.asp?DDFDocuments/u/G/TBTN24/ARG457A1.DOCX", "https://docs.wto.org/imrd/directdoc.asp?DDFDocuments/u/G/TBTN24/ARG457A1.DOCX")</f>
      </c>
      <c r="Q200" s="6">
        <f>HYPERLINK("https://docs.wto.org/imrd/directdoc.asp?DDFDocuments/v/G/TBTN24/ARG457A1.DOCX", "https://docs.wto.org/imrd/directdoc.asp?DDFDocuments/v/G/TBTN24/ARG457A1.DOCX")</f>
      </c>
    </row>
    <row r="201">
      <c r="A201" s="6" t="s">
        <v>68</v>
      </c>
      <c r="B201" s="7">
        <v>45643</v>
      </c>
      <c r="C201" s="9">
        <f>HYPERLINK("https://eping.wto.org/en/Search?viewData= G/SPS/N/UGA/406"," G/SPS/N/UGA/406")</f>
      </c>
      <c r="D201" s="8" t="s">
        <v>935</v>
      </c>
      <c r="E201" s="8" t="s">
        <v>936</v>
      </c>
      <c r="F201" s="8" t="s">
        <v>937</v>
      </c>
      <c r="G201" s="8" t="s">
        <v>938</v>
      </c>
      <c r="H201" s="8" t="s">
        <v>872</v>
      </c>
      <c r="I201" s="8" t="s">
        <v>120</v>
      </c>
      <c r="J201" s="8" t="s">
        <v>255</v>
      </c>
      <c r="K201" s="6"/>
      <c r="L201" s="7">
        <v>45703</v>
      </c>
      <c r="M201" s="6" t="s">
        <v>32</v>
      </c>
      <c r="N201" s="8" t="s">
        <v>939</v>
      </c>
      <c r="O201" s="6">
        <f>HYPERLINK("https://docs.wto.org/imrd/directdoc.asp?DDFDocuments/t/G/SPS/NUGA406.DOCX", "https://docs.wto.org/imrd/directdoc.asp?DDFDocuments/t/G/SPS/NUGA406.DOCX")</f>
      </c>
      <c r="P201" s="6">
        <f>HYPERLINK("https://docs.wto.org/imrd/directdoc.asp?DDFDocuments/u/G/SPS/NUGA406.DOCX", "https://docs.wto.org/imrd/directdoc.asp?DDFDocuments/u/G/SPS/NUGA406.DOCX")</f>
      </c>
      <c r="Q201" s="6">
        <f>HYPERLINK("https://docs.wto.org/imrd/directdoc.asp?DDFDocuments/v/G/SPS/NUGA406.DOCX", "https://docs.wto.org/imrd/directdoc.asp?DDFDocuments/v/G/SPS/NUGA406.DOCX")</f>
      </c>
    </row>
    <row r="202">
      <c r="A202" s="6" t="s">
        <v>400</v>
      </c>
      <c r="B202" s="7">
        <v>45643</v>
      </c>
      <c r="C202" s="9">
        <f>HYPERLINK("https://eping.wto.org/en/Search?viewData= G/SPS/N/USA/3499"," G/SPS/N/USA/3499")</f>
      </c>
      <c r="D202" s="8" t="s">
        <v>940</v>
      </c>
      <c r="E202" s="8" t="s">
        <v>941</v>
      </c>
      <c r="F202" s="8" t="s">
        <v>942</v>
      </c>
      <c r="G202" s="8" t="s">
        <v>22</v>
      </c>
      <c r="H202" s="8" t="s">
        <v>22</v>
      </c>
      <c r="I202" s="8" t="s">
        <v>120</v>
      </c>
      <c r="J202" s="8" t="s">
        <v>121</v>
      </c>
      <c r="K202" s="6" t="s">
        <v>22</v>
      </c>
      <c r="L202" s="7" t="s">
        <v>22</v>
      </c>
      <c r="M202" s="6" t="s">
        <v>32</v>
      </c>
      <c r="N202" s="8" t="s">
        <v>943</v>
      </c>
      <c r="O202" s="6">
        <f>HYPERLINK("https://docs.wto.org/imrd/directdoc.asp?DDFDocuments/t/G/SPS/NUSA3499.DOCX", "https://docs.wto.org/imrd/directdoc.asp?DDFDocuments/t/G/SPS/NUSA3499.DOCX")</f>
      </c>
      <c r="P202" s="6">
        <f>HYPERLINK("https://docs.wto.org/imrd/directdoc.asp?DDFDocuments/u/G/SPS/NUSA3499.DOCX", "https://docs.wto.org/imrd/directdoc.asp?DDFDocuments/u/G/SPS/NUSA3499.DOCX")</f>
      </c>
      <c r="Q202" s="6">
        <f>HYPERLINK("https://docs.wto.org/imrd/directdoc.asp?DDFDocuments/v/G/SPS/NUSA3499.DOCX", "https://docs.wto.org/imrd/directdoc.asp?DDFDocuments/v/G/SPS/NUSA3499.DOCX")</f>
      </c>
    </row>
    <row r="203">
      <c r="A203" s="6" t="s">
        <v>944</v>
      </c>
      <c r="B203" s="7">
        <v>45643</v>
      </c>
      <c r="C203" s="9">
        <f>HYPERLINK("https://eping.wto.org/en/Search?viewData= G/SPS/N/URY/85"," G/SPS/N/URY/85")</f>
      </c>
      <c r="D203" s="8" t="s">
        <v>945</v>
      </c>
      <c r="E203" s="8" t="s">
        <v>946</v>
      </c>
      <c r="F203" s="8" t="s">
        <v>947</v>
      </c>
      <c r="G203" s="8" t="s">
        <v>22</v>
      </c>
      <c r="H203" s="8" t="s">
        <v>22</v>
      </c>
      <c r="I203" s="8" t="s">
        <v>120</v>
      </c>
      <c r="J203" s="8" t="s">
        <v>948</v>
      </c>
      <c r="K203" s="6" t="s">
        <v>22</v>
      </c>
      <c r="L203" s="7">
        <v>45703</v>
      </c>
      <c r="M203" s="6" t="s">
        <v>32</v>
      </c>
      <c r="N203" s="8" t="s">
        <v>949</v>
      </c>
      <c r="O203" s="6">
        <f>HYPERLINK("https://docs.wto.org/imrd/directdoc.asp?DDFDocuments/t/G/SPS/NURY85.DOCX", "https://docs.wto.org/imrd/directdoc.asp?DDFDocuments/t/G/SPS/NURY85.DOCX")</f>
      </c>
      <c r="P203" s="6">
        <f>HYPERLINK("https://docs.wto.org/imrd/directdoc.asp?DDFDocuments/u/G/SPS/NURY85.DOCX", "https://docs.wto.org/imrd/directdoc.asp?DDFDocuments/u/G/SPS/NURY85.DOCX")</f>
      </c>
      <c r="Q203" s="6">
        <f>HYPERLINK("https://docs.wto.org/imrd/directdoc.asp?DDFDocuments/v/G/SPS/NURY85.DOCX", "https://docs.wto.org/imrd/directdoc.asp?DDFDocuments/v/G/SPS/NURY85.DOCX")</f>
      </c>
    </row>
    <row r="204">
      <c r="A204" s="6" t="s">
        <v>400</v>
      </c>
      <c r="B204" s="7">
        <v>45643</v>
      </c>
      <c r="C204" s="9">
        <f>HYPERLINK("https://eping.wto.org/en/Search?viewData= G/TBT/N/USA/2169"," G/TBT/N/USA/2169")</f>
      </c>
      <c r="D204" s="8" t="s">
        <v>950</v>
      </c>
      <c r="E204" s="8" t="s">
        <v>951</v>
      </c>
      <c r="F204" s="8" t="s">
        <v>952</v>
      </c>
      <c r="G204" s="8" t="s">
        <v>22</v>
      </c>
      <c r="H204" s="8" t="s">
        <v>953</v>
      </c>
      <c r="I204" s="8" t="s">
        <v>39</v>
      </c>
      <c r="J204" s="8" t="s">
        <v>22</v>
      </c>
      <c r="K204" s="6"/>
      <c r="L204" s="7">
        <v>45684</v>
      </c>
      <c r="M204" s="6" t="s">
        <v>32</v>
      </c>
      <c r="N204" s="8" t="s">
        <v>954</v>
      </c>
      <c r="O204" s="6">
        <f>HYPERLINK("https://docs.wto.org/imrd/directdoc.asp?DDFDocuments/t/G/TBTN24/USA2169.DOCX", "https://docs.wto.org/imrd/directdoc.asp?DDFDocuments/t/G/TBTN24/USA2169.DOCX")</f>
      </c>
      <c r="P204" s="6">
        <f>HYPERLINK("https://docs.wto.org/imrd/directdoc.asp?DDFDocuments/u/G/TBTN24/USA2169.DOCX", "https://docs.wto.org/imrd/directdoc.asp?DDFDocuments/u/G/TBTN24/USA2169.DOCX")</f>
      </c>
      <c r="Q204" s="6">
        <f>HYPERLINK("https://docs.wto.org/imrd/directdoc.asp?DDFDocuments/v/G/TBTN24/USA2169.DOCX", "https://docs.wto.org/imrd/directdoc.asp?DDFDocuments/v/G/TBTN24/USA2169.DOCX")</f>
      </c>
    </row>
    <row r="205">
      <c r="A205" s="6" t="s">
        <v>53</v>
      </c>
      <c r="B205" s="7">
        <v>45643</v>
      </c>
      <c r="C205" s="9">
        <f>HYPERLINK("https://eping.wto.org/en/Search?viewData= G/TBT/N/KEN/1723"," G/TBT/N/KEN/1723")</f>
      </c>
      <c r="D205" s="8" t="s">
        <v>955</v>
      </c>
      <c r="E205" s="8" t="s">
        <v>956</v>
      </c>
      <c r="F205" s="8" t="s">
        <v>957</v>
      </c>
      <c r="G205" s="8" t="s">
        <v>958</v>
      </c>
      <c r="H205" s="8" t="s">
        <v>959</v>
      </c>
      <c r="I205" s="8" t="s">
        <v>242</v>
      </c>
      <c r="J205" s="8" t="s">
        <v>22</v>
      </c>
      <c r="K205" s="6"/>
      <c r="L205" s="7">
        <v>45703</v>
      </c>
      <c r="M205" s="6" t="s">
        <v>32</v>
      </c>
      <c r="N205" s="8" t="s">
        <v>960</v>
      </c>
      <c r="O205" s="6">
        <f>HYPERLINK("https://docs.wto.org/imrd/directdoc.asp?DDFDocuments/t/G/TBTN24/KEN1723.DOCX", "https://docs.wto.org/imrd/directdoc.asp?DDFDocuments/t/G/TBTN24/KEN1723.DOCX")</f>
      </c>
      <c r="P205" s="6">
        <f>HYPERLINK("https://docs.wto.org/imrd/directdoc.asp?DDFDocuments/u/G/TBTN24/KEN1723.DOCX", "https://docs.wto.org/imrd/directdoc.asp?DDFDocuments/u/G/TBTN24/KEN1723.DOCX")</f>
      </c>
      <c r="Q205" s="6">
        <f>HYPERLINK("https://docs.wto.org/imrd/directdoc.asp?DDFDocuments/v/G/TBTN24/KEN1723.DOCX", "https://docs.wto.org/imrd/directdoc.asp?DDFDocuments/v/G/TBTN24/KEN1723.DOCX")</f>
      </c>
    </row>
    <row r="206">
      <c r="A206" s="6" t="s">
        <v>68</v>
      </c>
      <c r="B206" s="7">
        <v>45643</v>
      </c>
      <c r="C206" s="9">
        <f>HYPERLINK("https://eping.wto.org/en/Search?viewData= G/SPS/N/UGA/404"," G/SPS/N/UGA/404")</f>
      </c>
      <c r="D206" s="8" t="s">
        <v>961</v>
      </c>
      <c r="E206" s="8" t="s">
        <v>962</v>
      </c>
      <c r="F206" s="8" t="s">
        <v>963</v>
      </c>
      <c r="G206" s="8" t="s">
        <v>964</v>
      </c>
      <c r="H206" s="8" t="s">
        <v>22</v>
      </c>
      <c r="I206" s="8" t="s">
        <v>120</v>
      </c>
      <c r="J206" s="8" t="s">
        <v>416</v>
      </c>
      <c r="K206" s="6"/>
      <c r="L206" s="7">
        <v>45703</v>
      </c>
      <c r="M206" s="6" t="s">
        <v>32</v>
      </c>
      <c r="N206" s="8" t="s">
        <v>965</v>
      </c>
      <c r="O206" s="6">
        <f>HYPERLINK("https://docs.wto.org/imrd/directdoc.asp?DDFDocuments/t/G/SPS/NUGA404.DOCX", "https://docs.wto.org/imrd/directdoc.asp?DDFDocuments/t/G/SPS/NUGA404.DOCX")</f>
      </c>
      <c r="P206" s="6">
        <f>HYPERLINK("https://docs.wto.org/imrd/directdoc.asp?DDFDocuments/u/G/SPS/NUGA404.DOCX", "https://docs.wto.org/imrd/directdoc.asp?DDFDocuments/u/G/SPS/NUGA404.DOCX")</f>
      </c>
      <c r="Q206" s="6">
        <f>HYPERLINK("https://docs.wto.org/imrd/directdoc.asp?DDFDocuments/v/G/SPS/NUGA404.DOCX", "https://docs.wto.org/imrd/directdoc.asp?DDFDocuments/v/G/SPS/NUGA404.DOCX")</f>
      </c>
    </row>
    <row r="207">
      <c r="A207" s="6" t="s">
        <v>400</v>
      </c>
      <c r="B207" s="7">
        <v>45643</v>
      </c>
      <c r="C207" s="9">
        <f>HYPERLINK("https://eping.wto.org/en/Search?viewData= G/SPS/N/USA/3498"," G/SPS/N/USA/3498")</f>
      </c>
      <c r="D207" s="8" t="s">
        <v>966</v>
      </c>
      <c r="E207" s="8" t="s">
        <v>967</v>
      </c>
      <c r="F207" s="8" t="s">
        <v>968</v>
      </c>
      <c r="G207" s="8" t="s">
        <v>22</v>
      </c>
      <c r="H207" s="8" t="s">
        <v>22</v>
      </c>
      <c r="I207" s="8" t="s">
        <v>120</v>
      </c>
      <c r="J207" s="8" t="s">
        <v>969</v>
      </c>
      <c r="K207" s="6"/>
      <c r="L207" s="7">
        <v>45698</v>
      </c>
      <c r="M207" s="6" t="s">
        <v>32</v>
      </c>
      <c r="N207" s="8" t="s">
        <v>970</v>
      </c>
      <c r="O207" s="6">
        <f>HYPERLINK("https://docs.wto.org/imrd/directdoc.asp?DDFDocuments/t/G/SPS/NUSA3498.DOCX", "https://docs.wto.org/imrd/directdoc.asp?DDFDocuments/t/G/SPS/NUSA3498.DOCX")</f>
      </c>
      <c r="P207" s="6">
        <f>HYPERLINK("https://docs.wto.org/imrd/directdoc.asp?DDFDocuments/u/G/SPS/NUSA3498.DOCX", "https://docs.wto.org/imrd/directdoc.asp?DDFDocuments/u/G/SPS/NUSA3498.DOCX")</f>
      </c>
      <c r="Q207" s="6">
        <f>HYPERLINK("https://docs.wto.org/imrd/directdoc.asp?DDFDocuments/v/G/SPS/NUSA3498.DOCX", "https://docs.wto.org/imrd/directdoc.asp?DDFDocuments/v/G/SPS/NUSA3498.DOCX")</f>
      </c>
    </row>
    <row r="208">
      <c r="A208" s="6" t="s">
        <v>53</v>
      </c>
      <c r="B208" s="7">
        <v>45643</v>
      </c>
      <c r="C208" s="9">
        <f>HYPERLINK("https://eping.wto.org/en/Search?viewData= G/TBT/N/KEN/1724"," G/TBT/N/KEN/1724")</f>
      </c>
      <c r="D208" s="8" t="s">
        <v>971</v>
      </c>
      <c r="E208" s="8" t="s">
        <v>972</v>
      </c>
      <c r="F208" s="8" t="s">
        <v>973</v>
      </c>
      <c r="G208" s="8" t="s">
        <v>22</v>
      </c>
      <c r="H208" s="8" t="s">
        <v>974</v>
      </c>
      <c r="I208" s="8" t="s">
        <v>203</v>
      </c>
      <c r="J208" s="8" t="s">
        <v>22</v>
      </c>
      <c r="K208" s="6"/>
      <c r="L208" s="7">
        <v>45703</v>
      </c>
      <c r="M208" s="6" t="s">
        <v>32</v>
      </c>
      <c r="N208" s="8" t="s">
        <v>975</v>
      </c>
      <c r="O208" s="6">
        <f>HYPERLINK("https://docs.wto.org/imrd/directdoc.asp?DDFDocuments/t/G/TBTN24/KEN1724.DOCX", "https://docs.wto.org/imrd/directdoc.asp?DDFDocuments/t/G/TBTN24/KEN1724.DOCX")</f>
      </c>
      <c r="P208" s="6">
        <f>HYPERLINK("https://docs.wto.org/imrd/directdoc.asp?DDFDocuments/u/G/TBTN24/KEN1724.DOCX", "https://docs.wto.org/imrd/directdoc.asp?DDFDocuments/u/G/TBTN24/KEN1724.DOCX")</f>
      </c>
      <c r="Q208" s="6">
        <f>HYPERLINK("https://docs.wto.org/imrd/directdoc.asp?DDFDocuments/v/G/TBTN24/KEN1724.DOCX", "https://docs.wto.org/imrd/directdoc.asp?DDFDocuments/v/G/TBTN24/KEN1724.DOCX")</f>
      </c>
    </row>
    <row r="209">
      <c r="A209" s="6" t="s">
        <v>976</v>
      </c>
      <c r="B209" s="7">
        <v>45643</v>
      </c>
      <c r="C209" s="9">
        <f>HYPERLINK("https://eping.wto.org/en/Search?viewData= G/TBT/N/OMN/550"," G/TBT/N/OMN/550")</f>
      </c>
      <c r="D209" s="8" t="s">
        <v>977</v>
      </c>
      <c r="E209" s="8" t="s">
        <v>978</v>
      </c>
      <c r="F209" s="8" t="s">
        <v>979</v>
      </c>
      <c r="G209" s="8" t="s">
        <v>22</v>
      </c>
      <c r="H209" s="8" t="s">
        <v>980</v>
      </c>
      <c r="I209" s="8" t="s">
        <v>39</v>
      </c>
      <c r="J209" s="8" t="s">
        <v>22</v>
      </c>
      <c r="K209" s="6"/>
      <c r="L209" s="7">
        <v>45321</v>
      </c>
      <c r="M209" s="6" t="s">
        <v>32</v>
      </c>
      <c r="N209" s="8" t="s">
        <v>981</v>
      </c>
      <c r="O209" s="6">
        <f>HYPERLINK("https://docs.wto.org/imrd/directdoc.asp?DDFDocuments/t/G/TBTN24/OMN550.DOCX", "https://docs.wto.org/imrd/directdoc.asp?DDFDocuments/t/G/TBTN24/OMN550.DOCX")</f>
      </c>
      <c r="P209" s="6">
        <f>HYPERLINK("https://docs.wto.org/imrd/directdoc.asp?DDFDocuments/u/G/TBTN24/OMN550.DOCX", "https://docs.wto.org/imrd/directdoc.asp?DDFDocuments/u/G/TBTN24/OMN550.DOCX")</f>
      </c>
      <c r="Q209" s="6">
        <f>HYPERLINK("https://docs.wto.org/imrd/directdoc.asp?DDFDocuments/v/G/TBTN24/OMN550.DOCX", "https://docs.wto.org/imrd/directdoc.asp?DDFDocuments/v/G/TBTN24/OMN550.DOCX")</f>
      </c>
    </row>
    <row r="210">
      <c r="A210" s="6" t="s">
        <v>53</v>
      </c>
      <c r="B210" s="7">
        <v>45643</v>
      </c>
      <c r="C210" s="9">
        <f>HYPERLINK("https://eping.wto.org/en/Search?viewData= G/TBT/N/KEN/1721"," G/TBT/N/KEN/1721")</f>
      </c>
      <c r="D210" s="8" t="s">
        <v>982</v>
      </c>
      <c r="E210" s="8" t="s">
        <v>983</v>
      </c>
      <c r="F210" s="8" t="s">
        <v>903</v>
      </c>
      <c r="G210" s="8" t="s">
        <v>904</v>
      </c>
      <c r="H210" s="8" t="s">
        <v>893</v>
      </c>
      <c r="I210" s="8" t="s">
        <v>933</v>
      </c>
      <c r="J210" s="8" t="s">
        <v>58</v>
      </c>
      <c r="K210" s="6"/>
      <c r="L210" s="7">
        <v>45703</v>
      </c>
      <c r="M210" s="6" t="s">
        <v>32</v>
      </c>
      <c r="N210" s="8" t="s">
        <v>984</v>
      </c>
      <c r="O210" s="6">
        <f>HYPERLINK("https://docs.wto.org/imrd/directdoc.asp?DDFDocuments/t/G/TBTN24/KEN1721.DOCX", "https://docs.wto.org/imrd/directdoc.asp?DDFDocuments/t/G/TBTN24/KEN1721.DOCX")</f>
      </c>
      <c r="P210" s="6">
        <f>HYPERLINK("https://docs.wto.org/imrd/directdoc.asp?DDFDocuments/u/G/TBTN24/KEN1721.DOCX", "https://docs.wto.org/imrd/directdoc.asp?DDFDocuments/u/G/TBTN24/KEN1721.DOCX")</f>
      </c>
      <c r="Q210" s="6">
        <f>HYPERLINK("https://docs.wto.org/imrd/directdoc.asp?DDFDocuments/v/G/TBTN24/KEN1721.DOCX", "https://docs.wto.org/imrd/directdoc.asp?DDFDocuments/v/G/TBTN24/KEN1721.DOCX")</f>
      </c>
    </row>
    <row r="211">
      <c r="A211" s="6" t="s">
        <v>418</v>
      </c>
      <c r="B211" s="7">
        <v>45643</v>
      </c>
      <c r="C211" s="9">
        <f>HYPERLINK("https://eping.wto.org/en/Search?viewData= G/SPS/N/EU/694/Add.1"," G/SPS/N/EU/694/Add.1")</f>
      </c>
      <c r="D211" s="8" t="s">
        <v>985</v>
      </c>
      <c r="E211" s="8" t="s">
        <v>986</v>
      </c>
      <c r="F211" s="8" t="s">
        <v>987</v>
      </c>
      <c r="G211" s="8" t="s">
        <v>988</v>
      </c>
      <c r="H211" s="8" t="s">
        <v>22</v>
      </c>
      <c r="I211" s="8" t="s">
        <v>128</v>
      </c>
      <c r="J211" s="8" t="s">
        <v>989</v>
      </c>
      <c r="K211" s="6"/>
      <c r="L211" s="7" t="s">
        <v>22</v>
      </c>
      <c r="M211" s="6" t="s">
        <v>40</v>
      </c>
      <c r="N211" s="8" t="s">
        <v>990</v>
      </c>
      <c r="O211" s="6">
        <f>HYPERLINK("https://docs.wto.org/imrd/directdoc.asp?DDFDocuments/t/G/SPS/NEU694A1.DOCX", "https://docs.wto.org/imrd/directdoc.asp?DDFDocuments/t/G/SPS/NEU694A1.DOCX")</f>
      </c>
      <c r="P211" s="6">
        <f>HYPERLINK("https://docs.wto.org/imrd/directdoc.asp?DDFDocuments/u/G/SPS/NEU694A1.DOCX", "https://docs.wto.org/imrd/directdoc.asp?DDFDocuments/u/G/SPS/NEU694A1.DOCX")</f>
      </c>
      <c r="Q211" s="6">
        <f>HYPERLINK("https://docs.wto.org/imrd/directdoc.asp?DDFDocuments/v/G/SPS/NEU694A1.DOCX", "https://docs.wto.org/imrd/directdoc.asp?DDFDocuments/v/G/SPS/NEU694A1.DOCX")</f>
      </c>
    </row>
    <row r="212">
      <c r="A212" s="6" t="s">
        <v>68</v>
      </c>
      <c r="B212" s="7">
        <v>45643</v>
      </c>
      <c r="C212" s="9">
        <f>HYPERLINK("https://eping.wto.org/en/Search?viewData= G/SPS/N/UGA/409"," G/SPS/N/UGA/409")</f>
      </c>
      <c r="D212" s="8" t="s">
        <v>991</v>
      </c>
      <c r="E212" s="8" t="s">
        <v>992</v>
      </c>
      <c r="F212" s="8" t="s">
        <v>993</v>
      </c>
      <c r="G212" s="8" t="s">
        <v>994</v>
      </c>
      <c r="H212" s="8" t="s">
        <v>866</v>
      </c>
      <c r="I212" s="8" t="s">
        <v>120</v>
      </c>
      <c r="J212" s="8" t="s">
        <v>416</v>
      </c>
      <c r="K212" s="6"/>
      <c r="L212" s="7">
        <v>45703</v>
      </c>
      <c r="M212" s="6" t="s">
        <v>32</v>
      </c>
      <c r="N212" s="8" t="s">
        <v>995</v>
      </c>
      <c r="O212" s="6">
        <f>HYPERLINK("https://docs.wto.org/imrd/directdoc.asp?DDFDocuments/t/G/SPS/NUGA409.DOCX", "https://docs.wto.org/imrd/directdoc.asp?DDFDocuments/t/G/SPS/NUGA409.DOCX")</f>
      </c>
      <c r="P212" s="6">
        <f>HYPERLINK("https://docs.wto.org/imrd/directdoc.asp?DDFDocuments/u/G/SPS/NUGA409.DOCX", "https://docs.wto.org/imrd/directdoc.asp?DDFDocuments/u/G/SPS/NUGA409.DOCX")</f>
      </c>
      <c r="Q212" s="6">
        <f>HYPERLINK("https://docs.wto.org/imrd/directdoc.asp?DDFDocuments/v/G/SPS/NUGA409.DOCX", "https://docs.wto.org/imrd/directdoc.asp?DDFDocuments/v/G/SPS/NUGA409.DOCX")</f>
      </c>
    </row>
    <row r="213">
      <c r="A213" s="6" t="s">
        <v>583</v>
      </c>
      <c r="B213" s="7">
        <v>45643</v>
      </c>
      <c r="C213" s="9">
        <f>HYPERLINK("https://eping.wto.org/en/Search?viewData= G/TBT/N/EGY/157/Add.9"," G/TBT/N/EGY/157/Add.9")</f>
      </c>
      <c r="D213" s="8" t="s">
        <v>996</v>
      </c>
      <c r="E213" s="8" t="s">
        <v>997</v>
      </c>
      <c r="F213" s="8" t="s">
        <v>998</v>
      </c>
      <c r="G213" s="8" t="s">
        <v>22</v>
      </c>
      <c r="H213" s="8" t="s">
        <v>999</v>
      </c>
      <c r="I213" s="8" t="s">
        <v>39</v>
      </c>
      <c r="J213" s="8" t="s">
        <v>22</v>
      </c>
      <c r="K213" s="6"/>
      <c r="L213" s="7" t="s">
        <v>22</v>
      </c>
      <c r="M213" s="6" t="s">
        <v>40</v>
      </c>
      <c r="N213" s="6"/>
      <c r="O213" s="6">
        <f>HYPERLINK("https://docs.wto.org/imrd/directdoc.asp?DDFDocuments/t/G/TBTN16/EGY157A9.DOCX", "https://docs.wto.org/imrd/directdoc.asp?DDFDocuments/t/G/TBTN16/EGY157A9.DOCX")</f>
      </c>
      <c r="P213" s="6">
        <f>HYPERLINK("https://docs.wto.org/imrd/directdoc.asp?DDFDocuments/u/G/TBTN16/EGY157A9.DOCX", "https://docs.wto.org/imrd/directdoc.asp?DDFDocuments/u/G/TBTN16/EGY157A9.DOCX")</f>
      </c>
      <c r="Q213" s="6">
        <f>HYPERLINK("https://docs.wto.org/imrd/directdoc.asp?DDFDocuments/v/G/TBTN16/EGY157A9.DOCX", "https://docs.wto.org/imrd/directdoc.asp?DDFDocuments/v/G/TBTN16/EGY157A9.DOCX")</f>
      </c>
    </row>
    <row r="214">
      <c r="A214" s="6" t="s">
        <v>68</v>
      </c>
      <c r="B214" s="7">
        <v>45643</v>
      </c>
      <c r="C214" s="9">
        <f>HYPERLINK("https://eping.wto.org/en/Search?viewData= G/SPS/N/UGA/408"," G/SPS/N/UGA/408")</f>
      </c>
      <c r="D214" s="8" t="s">
        <v>1000</v>
      </c>
      <c r="E214" s="8" t="s">
        <v>1001</v>
      </c>
      <c r="F214" s="8" t="s">
        <v>1002</v>
      </c>
      <c r="G214" s="8" t="s">
        <v>964</v>
      </c>
      <c r="H214" s="8" t="s">
        <v>872</v>
      </c>
      <c r="I214" s="8" t="s">
        <v>120</v>
      </c>
      <c r="J214" s="8" t="s">
        <v>416</v>
      </c>
      <c r="K214" s="6"/>
      <c r="L214" s="7">
        <v>45703</v>
      </c>
      <c r="M214" s="6" t="s">
        <v>32</v>
      </c>
      <c r="N214" s="8" t="s">
        <v>1003</v>
      </c>
      <c r="O214" s="6">
        <f>HYPERLINK("https://docs.wto.org/imrd/directdoc.asp?DDFDocuments/t/G/SPS/NUGA408.DOCX", "https://docs.wto.org/imrd/directdoc.asp?DDFDocuments/t/G/SPS/NUGA408.DOCX")</f>
      </c>
      <c r="P214" s="6">
        <f>HYPERLINK("https://docs.wto.org/imrd/directdoc.asp?DDFDocuments/u/G/SPS/NUGA408.DOCX", "https://docs.wto.org/imrd/directdoc.asp?DDFDocuments/u/G/SPS/NUGA408.DOCX")</f>
      </c>
      <c r="Q214" s="6">
        <f>HYPERLINK("https://docs.wto.org/imrd/directdoc.asp?DDFDocuments/v/G/SPS/NUGA408.DOCX", "https://docs.wto.org/imrd/directdoc.asp?DDFDocuments/v/G/SPS/NUGA408.DOCX")</f>
      </c>
    </row>
    <row r="215">
      <c r="A215" s="6" t="s">
        <v>847</v>
      </c>
      <c r="B215" s="7">
        <v>45643</v>
      </c>
      <c r="C215" s="9">
        <f>HYPERLINK("https://eping.wto.org/en/Search?viewData= G/TBT/N/UKR/325"," G/TBT/N/UKR/325")</f>
      </c>
      <c r="D215" s="8" t="s">
        <v>1004</v>
      </c>
      <c r="E215" s="8" t="s">
        <v>1005</v>
      </c>
      <c r="F215" s="8" t="s">
        <v>897</v>
      </c>
      <c r="G215" s="8" t="s">
        <v>898</v>
      </c>
      <c r="H215" s="8" t="s">
        <v>1006</v>
      </c>
      <c r="I215" s="8" t="s">
        <v>641</v>
      </c>
      <c r="J215" s="8" t="s">
        <v>58</v>
      </c>
      <c r="K215" s="6"/>
      <c r="L215" s="7" t="s">
        <v>22</v>
      </c>
      <c r="M215" s="6" t="s">
        <v>32</v>
      </c>
      <c r="N215" s="8" t="s">
        <v>1007</v>
      </c>
      <c r="O215" s="6">
        <f>HYPERLINK("https://docs.wto.org/imrd/directdoc.asp?DDFDocuments/t/G/TBTN24/UKR325.DOCX", "https://docs.wto.org/imrd/directdoc.asp?DDFDocuments/t/G/TBTN24/UKR325.DOCX")</f>
      </c>
      <c r="P215" s="6">
        <f>HYPERLINK("https://docs.wto.org/imrd/directdoc.asp?DDFDocuments/u/G/TBTN24/UKR325.DOCX", "https://docs.wto.org/imrd/directdoc.asp?DDFDocuments/u/G/TBTN24/UKR325.DOCX")</f>
      </c>
      <c r="Q215" s="6">
        <f>HYPERLINK("https://docs.wto.org/imrd/directdoc.asp?DDFDocuments/v/G/TBTN24/UKR325.DOCX", "https://docs.wto.org/imrd/directdoc.asp?DDFDocuments/v/G/TBTN24/UKR325.DOCX")</f>
      </c>
    </row>
    <row r="216">
      <c r="A216" s="6" t="s">
        <v>496</v>
      </c>
      <c r="B216" s="7">
        <v>45643</v>
      </c>
      <c r="C216" s="9">
        <f>HYPERLINK("https://eping.wto.org/en/Search?viewData= G/SPS/N/GBR/63/Add.1"," G/SPS/N/GBR/63/Add.1")</f>
      </c>
      <c r="D216" s="8" t="s">
        <v>1008</v>
      </c>
      <c r="E216" s="8" t="s">
        <v>1009</v>
      </c>
      <c r="F216" s="8" t="s">
        <v>1010</v>
      </c>
      <c r="G216" s="8" t="s">
        <v>1011</v>
      </c>
      <c r="H216" s="8" t="s">
        <v>22</v>
      </c>
      <c r="I216" s="8" t="s">
        <v>120</v>
      </c>
      <c r="J216" s="8" t="s">
        <v>1012</v>
      </c>
      <c r="K216" s="6"/>
      <c r="L216" s="7" t="s">
        <v>22</v>
      </c>
      <c r="M216" s="6" t="s">
        <v>40</v>
      </c>
      <c r="N216" s="6"/>
      <c r="O216" s="6">
        <f>HYPERLINK("https://docs.wto.org/imrd/directdoc.asp?DDFDocuments/t/G/SPS/NGBR63A1.DOCX", "https://docs.wto.org/imrd/directdoc.asp?DDFDocuments/t/G/SPS/NGBR63A1.DOCX")</f>
      </c>
      <c r="P216" s="6">
        <f>HYPERLINK("https://docs.wto.org/imrd/directdoc.asp?DDFDocuments/u/G/SPS/NGBR63A1.DOCX", "https://docs.wto.org/imrd/directdoc.asp?DDFDocuments/u/G/SPS/NGBR63A1.DOCX")</f>
      </c>
      <c r="Q216" s="6">
        <f>HYPERLINK("https://docs.wto.org/imrd/directdoc.asp?DDFDocuments/v/G/SPS/NGBR63A1.DOCX", "https://docs.wto.org/imrd/directdoc.asp?DDFDocuments/v/G/SPS/NGBR63A1.DOCX")</f>
      </c>
    </row>
    <row r="217">
      <c r="A217" s="6" t="s">
        <v>68</v>
      </c>
      <c r="B217" s="7">
        <v>45643</v>
      </c>
      <c r="C217" s="9">
        <f>HYPERLINK("https://eping.wto.org/en/Search?viewData= G/SPS/N/UGA/403"," G/SPS/N/UGA/403")</f>
      </c>
      <c r="D217" s="8" t="s">
        <v>1013</v>
      </c>
      <c r="E217" s="8" t="s">
        <v>1014</v>
      </c>
      <c r="F217" s="8" t="s">
        <v>1015</v>
      </c>
      <c r="G217" s="8" t="s">
        <v>871</v>
      </c>
      <c r="H217" s="8" t="s">
        <v>872</v>
      </c>
      <c r="I217" s="8" t="s">
        <v>120</v>
      </c>
      <c r="J217" s="8" t="s">
        <v>416</v>
      </c>
      <c r="K217" s="6"/>
      <c r="L217" s="7">
        <v>45703</v>
      </c>
      <c r="M217" s="6" t="s">
        <v>32</v>
      </c>
      <c r="N217" s="8" t="s">
        <v>1016</v>
      </c>
      <c r="O217" s="6">
        <f>HYPERLINK("https://docs.wto.org/imrd/directdoc.asp?DDFDocuments/t/G/SPS/NUGA403.DOCX", "https://docs.wto.org/imrd/directdoc.asp?DDFDocuments/t/G/SPS/NUGA403.DOCX")</f>
      </c>
      <c r="P217" s="6">
        <f>HYPERLINK("https://docs.wto.org/imrd/directdoc.asp?DDFDocuments/u/G/SPS/NUGA403.DOCX", "https://docs.wto.org/imrd/directdoc.asp?DDFDocuments/u/G/SPS/NUGA403.DOCX")</f>
      </c>
      <c r="Q217" s="6">
        <f>HYPERLINK("https://docs.wto.org/imrd/directdoc.asp?DDFDocuments/v/G/SPS/NUGA403.DOCX", "https://docs.wto.org/imrd/directdoc.asp?DDFDocuments/v/G/SPS/NUGA403.DOCX")</f>
      </c>
    </row>
    <row r="218">
      <c r="A218" s="6" t="s">
        <v>496</v>
      </c>
      <c r="B218" s="7">
        <v>45643</v>
      </c>
      <c r="C218" s="9">
        <f>HYPERLINK("https://eping.wto.org/en/Search?viewData= G/SPS/N/GBR/76"," G/SPS/N/GBR/76")</f>
      </c>
      <c r="D218" s="8" t="s">
        <v>1017</v>
      </c>
      <c r="E218" s="8" t="s">
        <v>1018</v>
      </c>
      <c r="F218" s="8" t="s">
        <v>1019</v>
      </c>
      <c r="G218" s="8" t="s">
        <v>22</v>
      </c>
      <c r="H218" s="8" t="s">
        <v>22</v>
      </c>
      <c r="I218" s="8" t="s">
        <v>120</v>
      </c>
      <c r="J218" s="8" t="s">
        <v>1020</v>
      </c>
      <c r="K218" s="6" t="s">
        <v>22</v>
      </c>
      <c r="L218" s="7" t="s">
        <v>22</v>
      </c>
      <c r="M218" s="6" t="s">
        <v>32</v>
      </c>
      <c r="N218" s="8" t="s">
        <v>1021</v>
      </c>
      <c r="O218" s="6">
        <f>HYPERLINK("https://docs.wto.org/imrd/directdoc.asp?DDFDocuments/t/G/SPS/NGBR76.DOCX", "https://docs.wto.org/imrd/directdoc.asp?DDFDocuments/t/G/SPS/NGBR76.DOCX")</f>
      </c>
      <c r="P218" s="6">
        <f>HYPERLINK("https://docs.wto.org/imrd/directdoc.asp?DDFDocuments/u/G/SPS/NGBR76.DOCX", "https://docs.wto.org/imrd/directdoc.asp?DDFDocuments/u/G/SPS/NGBR76.DOCX")</f>
      </c>
      <c r="Q218" s="6">
        <f>HYPERLINK("https://docs.wto.org/imrd/directdoc.asp?DDFDocuments/v/G/SPS/NGBR76.DOCX", "https://docs.wto.org/imrd/directdoc.asp?DDFDocuments/v/G/SPS/NGBR76.DOCX")</f>
      </c>
    </row>
    <row r="219">
      <c r="A219" s="6" t="s">
        <v>68</v>
      </c>
      <c r="B219" s="7">
        <v>45643</v>
      </c>
      <c r="C219" s="9">
        <f>HYPERLINK("https://eping.wto.org/en/Search?viewData= G/SPS/N/UGA/400"," G/SPS/N/UGA/400")</f>
      </c>
      <c r="D219" s="8" t="s">
        <v>1022</v>
      </c>
      <c r="E219" s="8" t="s">
        <v>1023</v>
      </c>
      <c r="F219" s="8" t="s">
        <v>1024</v>
      </c>
      <c r="G219" s="8" t="s">
        <v>1025</v>
      </c>
      <c r="H219" s="8" t="s">
        <v>866</v>
      </c>
      <c r="I219" s="8" t="s">
        <v>120</v>
      </c>
      <c r="J219" s="8" t="s">
        <v>255</v>
      </c>
      <c r="K219" s="6"/>
      <c r="L219" s="7">
        <v>45703</v>
      </c>
      <c r="M219" s="6" t="s">
        <v>32</v>
      </c>
      <c r="N219" s="8" t="s">
        <v>1026</v>
      </c>
      <c r="O219" s="6">
        <f>HYPERLINK("https://docs.wto.org/imrd/directdoc.asp?DDFDocuments/t/G/SPS/NUGA400.DOCX", "https://docs.wto.org/imrd/directdoc.asp?DDFDocuments/t/G/SPS/NUGA400.DOCX")</f>
      </c>
      <c r="P219" s="6">
        <f>HYPERLINK("https://docs.wto.org/imrd/directdoc.asp?DDFDocuments/u/G/SPS/NUGA400.DOCX", "https://docs.wto.org/imrd/directdoc.asp?DDFDocuments/u/G/SPS/NUGA400.DOCX")</f>
      </c>
      <c r="Q219" s="6">
        <f>HYPERLINK("https://docs.wto.org/imrd/directdoc.asp?DDFDocuments/v/G/SPS/NUGA400.DOCX", "https://docs.wto.org/imrd/directdoc.asp?DDFDocuments/v/G/SPS/NUGA400.DOCX")</f>
      </c>
    </row>
    <row r="220">
      <c r="A220" s="6" t="s">
        <v>68</v>
      </c>
      <c r="B220" s="7">
        <v>45643</v>
      </c>
      <c r="C220" s="9">
        <f>HYPERLINK("https://eping.wto.org/en/Search?viewData= G/SPS/N/UGA/401"," G/SPS/N/UGA/401")</f>
      </c>
      <c r="D220" s="8" t="s">
        <v>1027</v>
      </c>
      <c r="E220" s="8" t="s">
        <v>1028</v>
      </c>
      <c r="F220" s="8" t="s">
        <v>1029</v>
      </c>
      <c r="G220" s="8" t="s">
        <v>1030</v>
      </c>
      <c r="H220" s="8" t="s">
        <v>866</v>
      </c>
      <c r="I220" s="8" t="s">
        <v>120</v>
      </c>
      <c r="J220" s="8" t="s">
        <v>416</v>
      </c>
      <c r="K220" s="6"/>
      <c r="L220" s="7">
        <v>45703</v>
      </c>
      <c r="M220" s="6" t="s">
        <v>32</v>
      </c>
      <c r="N220" s="8" t="s">
        <v>1031</v>
      </c>
      <c r="O220" s="6">
        <f>HYPERLINK("https://docs.wto.org/imrd/directdoc.asp?DDFDocuments/t/G/SPS/NUGA401.DOCX", "https://docs.wto.org/imrd/directdoc.asp?DDFDocuments/t/G/SPS/NUGA401.DOCX")</f>
      </c>
      <c r="P220" s="6">
        <f>HYPERLINK("https://docs.wto.org/imrd/directdoc.asp?DDFDocuments/u/G/SPS/NUGA401.DOCX", "https://docs.wto.org/imrd/directdoc.asp?DDFDocuments/u/G/SPS/NUGA401.DOCX")</f>
      </c>
      <c r="Q220" s="6">
        <f>HYPERLINK("https://docs.wto.org/imrd/directdoc.asp?DDFDocuments/v/G/SPS/NUGA401.DOCX", "https://docs.wto.org/imrd/directdoc.asp?DDFDocuments/v/G/SPS/NUGA401.DOCX")</f>
      </c>
    </row>
    <row r="221">
      <c r="A221" s="6" t="s">
        <v>53</v>
      </c>
      <c r="B221" s="7">
        <v>45643</v>
      </c>
      <c r="C221" s="9">
        <f>HYPERLINK("https://eping.wto.org/en/Search?viewData= G/TBT/N/KEN/1722"," G/TBT/N/KEN/1722")</f>
      </c>
      <c r="D221" s="8" t="s">
        <v>1032</v>
      </c>
      <c r="E221" s="8" t="s">
        <v>1033</v>
      </c>
      <c r="F221" s="8" t="s">
        <v>1034</v>
      </c>
      <c r="G221" s="8" t="s">
        <v>1035</v>
      </c>
      <c r="H221" s="8" t="s">
        <v>1036</v>
      </c>
      <c r="I221" s="8" t="s">
        <v>641</v>
      </c>
      <c r="J221" s="8" t="s">
        <v>22</v>
      </c>
      <c r="K221" s="6"/>
      <c r="L221" s="7">
        <v>45703</v>
      </c>
      <c r="M221" s="6" t="s">
        <v>32</v>
      </c>
      <c r="N221" s="8" t="s">
        <v>1037</v>
      </c>
      <c r="O221" s="6">
        <f>HYPERLINK("https://docs.wto.org/imrd/directdoc.asp?DDFDocuments/t/G/TBTN24/KEN1722.DOCX", "https://docs.wto.org/imrd/directdoc.asp?DDFDocuments/t/G/TBTN24/KEN1722.DOCX")</f>
      </c>
      <c r="P221" s="6">
        <f>HYPERLINK("https://docs.wto.org/imrd/directdoc.asp?DDFDocuments/u/G/TBTN24/KEN1722.DOCX", "https://docs.wto.org/imrd/directdoc.asp?DDFDocuments/u/G/TBTN24/KEN1722.DOCX")</f>
      </c>
      <c r="Q221" s="6">
        <f>HYPERLINK("https://docs.wto.org/imrd/directdoc.asp?DDFDocuments/v/G/TBTN24/KEN1722.DOCX", "https://docs.wto.org/imrd/directdoc.asp?DDFDocuments/v/G/TBTN24/KEN1722.DOCX")</f>
      </c>
    </row>
    <row r="222">
      <c r="A222" s="6" t="s">
        <v>400</v>
      </c>
      <c r="B222" s="7">
        <v>45643</v>
      </c>
      <c r="C222" s="9">
        <f>HYPERLINK("https://eping.wto.org/en/Search?viewData= G/TBT/N/USA/2094/Add.1"," G/TBT/N/USA/2094/Add.1")</f>
      </c>
      <c r="D222" s="8" t="s">
        <v>1038</v>
      </c>
      <c r="E222" s="8" t="s">
        <v>1039</v>
      </c>
      <c r="F222" s="8" t="s">
        <v>1040</v>
      </c>
      <c r="G222" s="8" t="s">
        <v>22</v>
      </c>
      <c r="H222" s="8" t="s">
        <v>1041</v>
      </c>
      <c r="I222" s="8" t="s">
        <v>1042</v>
      </c>
      <c r="J222" s="8" t="s">
        <v>22</v>
      </c>
      <c r="K222" s="6"/>
      <c r="L222" s="7" t="s">
        <v>22</v>
      </c>
      <c r="M222" s="6" t="s">
        <v>40</v>
      </c>
      <c r="N222" s="8" t="s">
        <v>1043</v>
      </c>
      <c r="O222" s="6">
        <f>HYPERLINK("https://docs.wto.org/imrd/directdoc.asp?DDFDocuments/t/G/TBTN24/USA2094A1.DOCX", "https://docs.wto.org/imrd/directdoc.asp?DDFDocuments/t/G/TBTN24/USA2094A1.DOCX")</f>
      </c>
      <c r="P222" s="6">
        <f>HYPERLINK("https://docs.wto.org/imrd/directdoc.asp?DDFDocuments/u/G/TBTN24/USA2094A1.DOCX", "https://docs.wto.org/imrd/directdoc.asp?DDFDocuments/u/G/TBTN24/USA2094A1.DOCX")</f>
      </c>
      <c r="Q222" s="6">
        <f>HYPERLINK("https://docs.wto.org/imrd/directdoc.asp?DDFDocuments/v/G/TBTN24/USA2094A1.DOCX", "https://docs.wto.org/imrd/directdoc.asp?DDFDocuments/v/G/TBTN24/USA2094A1.DOCX")</f>
      </c>
    </row>
    <row r="223">
      <c r="A223" s="6" t="s">
        <v>130</v>
      </c>
      <c r="B223" s="7">
        <v>45643</v>
      </c>
      <c r="C223" s="9">
        <f>HYPERLINK("https://eping.wto.org/en/Search?viewData= G/TBT/N/ARG/457/Add.2"," G/TBT/N/ARG/457/Add.2")</f>
      </c>
      <c r="D223" s="8" t="s">
        <v>1044</v>
      </c>
      <c r="E223" s="8" t="s">
        <v>1045</v>
      </c>
      <c r="F223" s="8" t="s">
        <v>932</v>
      </c>
      <c r="G223" s="8" t="s">
        <v>22</v>
      </c>
      <c r="H223" s="8" t="s">
        <v>202</v>
      </c>
      <c r="I223" s="8" t="s">
        <v>933</v>
      </c>
      <c r="J223" s="8" t="s">
        <v>22</v>
      </c>
      <c r="K223" s="6"/>
      <c r="L223" s="7" t="s">
        <v>22</v>
      </c>
      <c r="M223" s="6" t="s">
        <v>40</v>
      </c>
      <c r="N223" s="8" t="s">
        <v>1046</v>
      </c>
      <c r="O223" s="6">
        <f>HYPERLINK("https://docs.wto.org/imrd/directdoc.asp?DDFDocuments/t/G/TBTN24/ARG457A2.DOCX", "https://docs.wto.org/imrd/directdoc.asp?DDFDocuments/t/G/TBTN24/ARG457A2.DOCX")</f>
      </c>
      <c r="P223" s="6">
        <f>HYPERLINK("https://docs.wto.org/imrd/directdoc.asp?DDFDocuments/u/G/TBTN24/ARG457A2.DOCX", "https://docs.wto.org/imrd/directdoc.asp?DDFDocuments/u/G/TBTN24/ARG457A2.DOCX")</f>
      </c>
      <c r="Q223" s="6">
        <f>HYPERLINK("https://docs.wto.org/imrd/directdoc.asp?DDFDocuments/v/G/TBTN24/ARG457A2.DOCX", "https://docs.wto.org/imrd/directdoc.asp?DDFDocuments/v/G/TBTN24/ARG457A2.DOCX")</f>
      </c>
    </row>
    <row r="224">
      <c r="A224" s="6" t="s">
        <v>400</v>
      </c>
      <c r="B224" s="7">
        <v>45643</v>
      </c>
      <c r="C224" s="9">
        <f>HYPERLINK("https://eping.wto.org/en/Search?viewData= G/TBT/N/USA/1826/Rev.1/Add.1"," G/TBT/N/USA/1826/Rev.1/Add.1")</f>
      </c>
      <c r="D224" s="8" t="s">
        <v>1047</v>
      </c>
      <c r="E224" s="8" t="s">
        <v>1048</v>
      </c>
      <c r="F224" s="8" t="s">
        <v>1049</v>
      </c>
      <c r="G224" s="8" t="s">
        <v>22</v>
      </c>
      <c r="H224" s="8" t="s">
        <v>1050</v>
      </c>
      <c r="I224" s="8" t="s">
        <v>1051</v>
      </c>
      <c r="J224" s="8" t="s">
        <v>22</v>
      </c>
      <c r="K224" s="6"/>
      <c r="L224" s="7" t="s">
        <v>22</v>
      </c>
      <c r="M224" s="6" t="s">
        <v>40</v>
      </c>
      <c r="N224" s="8" t="s">
        <v>1052</v>
      </c>
      <c r="O224" s="6">
        <f>HYPERLINK("https://docs.wto.org/imrd/directdoc.asp?DDFDocuments/t/G/TBTN22/USA1826R1A1.DOCX", "https://docs.wto.org/imrd/directdoc.asp?DDFDocuments/t/G/TBTN22/USA1826R1A1.DOCX")</f>
      </c>
      <c r="P224" s="6">
        <f>HYPERLINK("https://docs.wto.org/imrd/directdoc.asp?DDFDocuments/u/G/TBTN22/USA1826R1A1.DOCX", "https://docs.wto.org/imrd/directdoc.asp?DDFDocuments/u/G/TBTN22/USA1826R1A1.DOCX")</f>
      </c>
      <c r="Q224" s="6">
        <f>HYPERLINK("https://docs.wto.org/imrd/directdoc.asp?DDFDocuments/v/G/TBTN22/USA1826R1A1.DOCX", "https://docs.wto.org/imrd/directdoc.asp?DDFDocuments/v/G/TBTN22/USA1826R1A1.DOCX")</f>
      </c>
    </row>
    <row r="225">
      <c r="A225" s="6" t="s">
        <v>49</v>
      </c>
      <c r="B225" s="7">
        <v>45642</v>
      </c>
      <c r="C225" s="9">
        <f>HYPERLINK("https://eping.wto.org/en/Search?viewData= G/TBT/N/TZA/1227"," G/TBT/N/TZA/1227")</f>
      </c>
      <c r="D225" s="8" t="s">
        <v>1053</v>
      </c>
      <c r="E225" s="8" t="s">
        <v>1054</v>
      </c>
      <c r="F225" s="8" t="s">
        <v>1055</v>
      </c>
      <c r="G225" s="8" t="s">
        <v>1056</v>
      </c>
      <c r="H225" s="8" t="s">
        <v>1057</v>
      </c>
      <c r="I225" s="8" t="s">
        <v>1058</v>
      </c>
      <c r="J225" s="8" t="s">
        <v>58</v>
      </c>
      <c r="K225" s="6"/>
      <c r="L225" s="7">
        <v>45702</v>
      </c>
      <c r="M225" s="6" t="s">
        <v>32</v>
      </c>
      <c r="N225" s="8" t="s">
        <v>1059</v>
      </c>
      <c r="O225" s="6">
        <f>HYPERLINK("https://docs.wto.org/imrd/directdoc.asp?DDFDocuments/t/G/TBTN24/TZA1227.DOCX", "https://docs.wto.org/imrd/directdoc.asp?DDFDocuments/t/G/TBTN24/TZA1227.DOCX")</f>
      </c>
      <c r="P225" s="6">
        <f>HYPERLINK("https://docs.wto.org/imrd/directdoc.asp?DDFDocuments/u/G/TBTN24/TZA1227.DOCX", "https://docs.wto.org/imrd/directdoc.asp?DDFDocuments/u/G/TBTN24/TZA1227.DOCX")</f>
      </c>
      <c r="Q225" s="6">
        <f>HYPERLINK("https://docs.wto.org/imrd/directdoc.asp?DDFDocuments/v/G/TBTN24/TZA1227.DOCX", "https://docs.wto.org/imrd/directdoc.asp?DDFDocuments/v/G/TBTN24/TZA1227.DOCX")</f>
      </c>
    </row>
    <row r="226">
      <c r="A226" s="6" t="s">
        <v>68</v>
      </c>
      <c r="B226" s="7">
        <v>45642</v>
      </c>
      <c r="C226" s="9">
        <f>HYPERLINK("https://eping.wto.org/en/Search?viewData= G/SPS/N/UGA/394"," G/SPS/N/UGA/394")</f>
      </c>
      <c r="D226" s="8" t="s">
        <v>1060</v>
      </c>
      <c r="E226" s="8" t="s">
        <v>1061</v>
      </c>
      <c r="F226" s="8" t="s">
        <v>1062</v>
      </c>
      <c r="G226" s="8" t="s">
        <v>1063</v>
      </c>
      <c r="H226" s="8" t="s">
        <v>866</v>
      </c>
      <c r="I226" s="8" t="s">
        <v>120</v>
      </c>
      <c r="J226" s="8" t="s">
        <v>255</v>
      </c>
      <c r="K226" s="6"/>
      <c r="L226" s="7">
        <v>45702</v>
      </c>
      <c r="M226" s="6" t="s">
        <v>32</v>
      </c>
      <c r="N226" s="8" t="s">
        <v>1064</v>
      </c>
      <c r="O226" s="6">
        <f>HYPERLINK("https://docs.wto.org/imrd/directdoc.asp?DDFDocuments/t/G/SPS/NUGA394.DOCX", "https://docs.wto.org/imrd/directdoc.asp?DDFDocuments/t/G/SPS/NUGA394.DOCX")</f>
      </c>
      <c r="P226" s="6">
        <f>HYPERLINK("https://docs.wto.org/imrd/directdoc.asp?DDFDocuments/u/G/SPS/NUGA394.DOCX", "https://docs.wto.org/imrd/directdoc.asp?DDFDocuments/u/G/SPS/NUGA394.DOCX")</f>
      </c>
      <c r="Q226" s="6">
        <f>HYPERLINK("https://docs.wto.org/imrd/directdoc.asp?DDFDocuments/v/G/SPS/NUGA394.DOCX", "https://docs.wto.org/imrd/directdoc.asp?DDFDocuments/v/G/SPS/NUGA394.DOCX")</f>
      </c>
    </row>
    <row r="227">
      <c r="A227" s="6" t="s">
        <v>68</v>
      </c>
      <c r="B227" s="7">
        <v>45642</v>
      </c>
      <c r="C227" s="9">
        <f>HYPERLINK("https://eping.wto.org/en/Search?viewData= G/TBT/N/UGA/2067"," G/TBT/N/UGA/2067")</f>
      </c>
      <c r="D227" s="8" t="s">
        <v>1065</v>
      </c>
      <c r="E227" s="8" t="s">
        <v>1066</v>
      </c>
      <c r="F227" s="8" t="s">
        <v>1029</v>
      </c>
      <c r="G227" s="8" t="s">
        <v>1030</v>
      </c>
      <c r="H227" s="8" t="s">
        <v>866</v>
      </c>
      <c r="I227" s="8" t="s">
        <v>1067</v>
      </c>
      <c r="J227" s="8" t="s">
        <v>58</v>
      </c>
      <c r="K227" s="6"/>
      <c r="L227" s="7">
        <v>45702</v>
      </c>
      <c r="M227" s="6" t="s">
        <v>32</v>
      </c>
      <c r="N227" s="8" t="s">
        <v>1068</v>
      </c>
      <c r="O227" s="6">
        <f>HYPERLINK("https://docs.wto.org/imrd/directdoc.asp?DDFDocuments/t/G/TBTN24/UGA2067.DOCX", "https://docs.wto.org/imrd/directdoc.asp?DDFDocuments/t/G/TBTN24/UGA2067.DOCX")</f>
      </c>
      <c r="P227" s="6">
        <f>HYPERLINK("https://docs.wto.org/imrd/directdoc.asp?DDFDocuments/u/G/TBTN24/UGA2067.DOCX", "https://docs.wto.org/imrd/directdoc.asp?DDFDocuments/u/G/TBTN24/UGA2067.DOCX")</f>
      </c>
      <c r="Q227" s="6">
        <f>HYPERLINK("https://docs.wto.org/imrd/directdoc.asp?DDFDocuments/v/G/TBTN24/UGA2067.DOCX", "https://docs.wto.org/imrd/directdoc.asp?DDFDocuments/v/G/TBTN24/UGA2067.DOCX")</f>
      </c>
    </row>
    <row r="228">
      <c r="A228" s="6" t="s">
        <v>68</v>
      </c>
      <c r="B228" s="7">
        <v>45642</v>
      </c>
      <c r="C228" s="9">
        <f>HYPERLINK("https://eping.wto.org/en/Search?viewData= G/TBT/N/UGA/2062"," G/TBT/N/UGA/2062")</f>
      </c>
      <c r="D228" s="8" t="s">
        <v>1069</v>
      </c>
      <c r="E228" s="8" t="s">
        <v>1070</v>
      </c>
      <c r="F228" s="8" t="s">
        <v>1071</v>
      </c>
      <c r="G228" s="8" t="s">
        <v>1072</v>
      </c>
      <c r="H228" s="8" t="s">
        <v>866</v>
      </c>
      <c r="I228" s="8" t="s">
        <v>1067</v>
      </c>
      <c r="J228" s="8" t="s">
        <v>58</v>
      </c>
      <c r="K228" s="6"/>
      <c r="L228" s="7">
        <v>45702</v>
      </c>
      <c r="M228" s="6" t="s">
        <v>32</v>
      </c>
      <c r="N228" s="8" t="s">
        <v>1073</v>
      </c>
      <c r="O228" s="6">
        <f>HYPERLINK("https://docs.wto.org/imrd/directdoc.asp?DDFDocuments/t/G/TBTN24/UGA2062.DOCX", "https://docs.wto.org/imrd/directdoc.asp?DDFDocuments/t/G/TBTN24/UGA2062.DOCX")</f>
      </c>
      <c r="P228" s="6">
        <f>HYPERLINK("https://docs.wto.org/imrd/directdoc.asp?DDFDocuments/u/G/TBTN24/UGA2062.DOCX", "https://docs.wto.org/imrd/directdoc.asp?DDFDocuments/u/G/TBTN24/UGA2062.DOCX")</f>
      </c>
      <c r="Q228" s="6">
        <f>HYPERLINK("https://docs.wto.org/imrd/directdoc.asp?DDFDocuments/v/G/TBTN24/UGA2062.DOCX", "https://docs.wto.org/imrd/directdoc.asp?DDFDocuments/v/G/TBTN24/UGA2062.DOCX")</f>
      </c>
    </row>
    <row r="229">
      <c r="A229" s="6" t="s">
        <v>400</v>
      </c>
      <c r="B229" s="7">
        <v>45642</v>
      </c>
      <c r="C229" s="9">
        <f>HYPERLINK("https://eping.wto.org/en/Search?viewData= G/TBT/N/USA/2168"," G/TBT/N/USA/2168")</f>
      </c>
      <c r="D229" s="8" t="s">
        <v>1074</v>
      </c>
      <c r="E229" s="8" t="s">
        <v>1075</v>
      </c>
      <c r="F229" s="8" t="s">
        <v>1076</v>
      </c>
      <c r="G229" s="8" t="s">
        <v>22</v>
      </c>
      <c r="H229" s="8" t="s">
        <v>1077</v>
      </c>
      <c r="I229" s="8" t="s">
        <v>701</v>
      </c>
      <c r="J229" s="8" t="s">
        <v>558</v>
      </c>
      <c r="K229" s="6"/>
      <c r="L229" s="7">
        <v>45691</v>
      </c>
      <c r="M229" s="6" t="s">
        <v>32</v>
      </c>
      <c r="N229" s="8" t="s">
        <v>1078</v>
      </c>
      <c r="O229" s="6">
        <f>HYPERLINK("https://docs.wto.org/imrd/directdoc.asp?DDFDocuments/t/G/TBTN24/USA2168.DOCX", "https://docs.wto.org/imrd/directdoc.asp?DDFDocuments/t/G/TBTN24/USA2168.DOCX")</f>
      </c>
      <c r="P229" s="6">
        <f>HYPERLINK("https://docs.wto.org/imrd/directdoc.asp?DDFDocuments/u/G/TBTN24/USA2168.DOCX", "https://docs.wto.org/imrd/directdoc.asp?DDFDocuments/u/G/TBTN24/USA2168.DOCX")</f>
      </c>
      <c r="Q229" s="6">
        <f>HYPERLINK("https://docs.wto.org/imrd/directdoc.asp?DDFDocuments/v/G/TBTN24/USA2168.DOCX", "https://docs.wto.org/imrd/directdoc.asp?DDFDocuments/v/G/TBTN24/USA2168.DOCX")</f>
      </c>
    </row>
    <row r="230">
      <c r="A230" s="6" t="s">
        <v>68</v>
      </c>
      <c r="B230" s="7">
        <v>45642</v>
      </c>
      <c r="C230" s="9">
        <f>HYPERLINK("https://eping.wto.org/en/Search?viewData= G/TBT/N/UGA/2071"," G/TBT/N/UGA/2071")</f>
      </c>
      <c r="D230" s="8" t="s">
        <v>1079</v>
      </c>
      <c r="E230" s="8" t="s">
        <v>1080</v>
      </c>
      <c r="F230" s="8" t="s">
        <v>937</v>
      </c>
      <c r="G230" s="8" t="s">
        <v>938</v>
      </c>
      <c r="H230" s="8" t="s">
        <v>872</v>
      </c>
      <c r="I230" s="8" t="s">
        <v>1067</v>
      </c>
      <c r="J230" s="8" t="s">
        <v>58</v>
      </c>
      <c r="K230" s="6"/>
      <c r="L230" s="7">
        <v>45702</v>
      </c>
      <c r="M230" s="6" t="s">
        <v>32</v>
      </c>
      <c r="N230" s="8" t="s">
        <v>1081</v>
      </c>
      <c r="O230" s="6">
        <f>HYPERLINK("https://docs.wto.org/imrd/directdoc.asp?DDFDocuments/t/G/TBTN24/UGA2071.DOCX", "https://docs.wto.org/imrd/directdoc.asp?DDFDocuments/t/G/TBTN24/UGA2071.DOCX")</f>
      </c>
      <c r="P230" s="6">
        <f>HYPERLINK("https://docs.wto.org/imrd/directdoc.asp?DDFDocuments/u/G/TBTN24/UGA2071.DOCX", "https://docs.wto.org/imrd/directdoc.asp?DDFDocuments/u/G/TBTN24/UGA2071.DOCX")</f>
      </c>
      <c r="Q230" s="6">
        <f>HYPERLINK("https://docs.wto.org/imrd/directdoc.asp?DDFDocuments/v/G/TBTN24/UGA2071.DOCX", "https://docs.wto.org/imrd/directdoc.asp?DDFDocuments/v/G/TBTN24/UGA2071.DOCX")</f>
      </c>
    </row>
    <row r="231">
      <c r="A231" s="6" t="s">
        <v>68</v>
      </c>
      <c r="B231" s="7">
        <v>45642</v>
      </c>
      <c r="C231" s="9">
        <f>HYPERLINK("https://eping.wto.org/en/Search?viewData= G/SPS/N/UGA/395"," G/SPS/N/UGA/395")</f>
      </c>
      <c r="D231" s="8" t="s">
        <v>1082</v>
      </c>
      <c r="E231" s="8" t="s">
        <v>1083</v>
      </c>
      <c r="F231" s="8" t="s">
        <v>1084</v>
      </c>
      <c r="G231" s="8" t="s">
        <v>1085</v>
      </c>
      <c r="H231" s="8" t="s">
        <v>866</v>
      </c>
      <c r="I231" s="8" t="s">
        <v>120</v>
      </c>
      <c r="J231" s="8" t="s">
        <v>416</v>
      </c>
      <c r="K231" s="6"/>
      <c r="L231" s="7">
        <v>45702</v>
      </c>
      <c r="M231" s="6" t="s">
        <v>32</v>
      </c>
      <c r="N231" s="8" t="s">
        <v>1086</v>
      </c>
      <c r="O231" s="6">
        <f>HYPERLINK("https://docs.wto.org/imrd/directdoc.asp?DDFDocuments/t/G/SPS/NUGA395.DOCX", "https://docs.wto.org/imrd/directdoc.asp?DDFDocuments/t/G/SPS/NUGA395.DOCX")</f>
      </c>
      <c r="P231" s="6">
        <f>HYPERLINK("https://docs.wto.org/imrd/directdoc.asp?DDFDocuments/u/G/SPS/NUGA395.DOCX", "https://docs.wto.org/imrd/directdoc.asp?DDFDocuments/u/G/SPS/NUGA395.DOCX")</f>
      </c>
      <c r="Q231" s="6">
        <f>HYPERLINK("https://docs.wto.org/imrd/directdoc.asp?DDFDocuments/v/G/SPS/NUGA395.DOCX", "https://docs.wto.org/imrd/directdoc.asp?DDFDocuments/v/G/SPS/NUGA395.DOCX")</f>
      </c>
    </row>
    <row r="232">
      <c r="A232" s="6" t="s">
        <v>53</v>
      </c>
      <c r="B232" s="7">
        <v>45642</v>
      </c>
      <c r="C232" s="9">
        <f>HYPERLINK("https://eping.wto.org/en/Search?viewData= G/SPS/N/KEN/320"," G/SPS/N/KEN/320")</f>
      </c>
      <c r="D232" s="8" t="s">
        <v>982</v>
      </c>
      <c r="E232" s="8" t="s">
        <v>983</v>
      </c>
      <c r="F232" s="8" t="s">
        <v>903</v>
      </c>
      <c r="G232" s="8" t="s">
        <v>904</v>
      </c>
      <c r="H232" s="8" t="s">
        <v>893</v>
      </c>
      <c r="I232" s="8" t="s">
        <v>120</v>
      </c>
      <c r="J232" s="8" t="s">
        <v>416</v>
      </c>
      <c r="K232" s="6" t="s">
        <v>22</v>
      </c>
      <c r="L232" s="7">
        <v>45702</v>
      </c>
      <c r="M232" s="6" t="s">
        <v>32</v>
      </c>
      <c r="N232" s="8" t="s">
        <v>1087</v>
      </c>
      <c r="O232" s="6">
        <f>HYPERLINK("https://docs.wto.org/imrd/directdoc.asp?DDFDocuments/t/G/SPS/NKEN320.DOCX", "https://docs.wto.org/imrd/directdoc.asp?DDFDocuments/t/G/SPS/NKEN320.DOCX")</f>
      </c>
      <c r="P232" s="6">
        <f>HYPERLINK("https://docs.wto.org/imrd/directdoc.asp?DDFDocuments/u/G/SPS/NKEN320.DOCX", "https://docs.wto.org/imrd/directdoc.asp?DDFDocuments/u/G/SPS/NKEN320.DOCX")</f>
      </c>
      <c r="Q232" s="6">
        <f>HYPERLINK("https://docs.wto.org/imrd/directdoc.asp?DDFDocuments/v/G/SPS/NKEN320.DOCX", "https://docs.wto.org/imrd/directdoc.asp?DDFDocuments/v/G/SPS/NKEN320.DOCX")</f>
      </c>
    </row>
    <row r="233">
      <c r="A233" s="6" t="s">
        <v>49</v>
      </c>
      <c r="B233" s="7">
        <v>45642</v>
      </c>
      <c r="C233" s="9">
        <f>HYPERLINK("https://eping.wto.org/en/Search?viewData= G/TBT/N/TZA/1232"," G/TBT/N/TZA/1232")</f>
      </c>
      <c r="D233" s="8" t="s">
        <v>1088</v>
      </c>
      <c r="E233" s="8" t="s">
        <v>1089</v>
      </c>
      <c r="F233" s="8" t="s">
        <v>1090</v>
      </c>
      <c r="G233" s="8" t="s">
        <v>1091</v>
      </c>
      <c r="H233" s="8" t="s">
        <v>1092</v>
      </c>
      <c r="I233" s="8" t="s">
        <v>1058</v>
      </c>
      <c r="J233" s="8" t="s">
        <v>58</v>
      </c>
      <c r="K233" s="6"/>
      <c r="L233" s="7">
        <v>45702</v>
      </c>
      <c r="M233" s="6" t="s">
        <v>32</v>
      </c>
      <c r="N233" s="8" t="s">
        <v>1093</v>
      </c>
      <c r="O233" s="6">
        <f>HYPERLINK("https://docs.wto.org/imrd/directdoc.asp?DDFDocuments/t/G/TBTN24/TZA1232.DOCX", "https://docs.wto.org/imrd/directdoc.asp?DDFDocuments/t/G/TBTN24/TZA1232.DOCX")</f>
      </c>
      <c r="P233" s="6">
        <f>HYPERLINK("https://docs.wto.org/imrd/directdoc.asp?DDFDocuments/u/G/TBTN24/TZA1232.DOCX", "https://docs.wto.org/imrd/directdoc.asp?DDFDocuments/u/G/TBTN24/TZA1232.DOCX")</f>
      </c>
      <c r="Q233" s="6">
        <f>HYPERLINK("https://docs.wto.org/imrd/directdoc.asp?DDFDocuments/v/G/TBTN24/TZA1232.DOCX", "https://docs.wto.org/imrd/directdoc.asp?DDFDocuments/v/G/TBTN24/TZA1232.DOCX")</f>
      </c>
    </row>
    <row r="234">
      <c r="A234" s="6" t="s">
        <v>68</v>
      </c>
      <c r="B234" s="7">
        <v>45642</v>
      </c>
      <c r="C234" s="9">
        <f>HYPERLINK("https://eping.wto.org/en/Search?viewData= G/TBT/N/UGA/2069"," G/TBT/N/UGA/2069")</f>
      </c>
      <c r="D234" s="8" t="s">
        <v>1094</v>
      </c>
      <c r="E234" s="8" t="s">
        <v>1095</v>
      </c>
      <c r="F234" s="8" t="s">
        <v>1096</v>
      </c>
      <c r="G234" s="8" t="s">
        <v>964</v>
      </c>
      <c r="H234" s="8" t="s">
        <v>872</v>
      </c>
      <c r="I234" s="8" t="s">
        <v>1067</v>
      </c>
      <c r="J234" s="8" t="s">
        <v>58</v>
      </c>
      <c r="K234" s="6"/>
      <c r="L234" s="7">
        <v>45702</v>
      </c>
      <c r="M234" s="6" t="s">
        <v>32</v>
      </c>
      <c r="N234" s="8" t="s">
        <v>1097</v>
      </c>
      <c r="O234" s="6">
        <f>HYPERLINK("https://docs.wto.org/imrd/directdoc.asp?DDFDocuments/t/G/TBTN24/UGA2069.DOCX", "https://docs.wto.org/imrd/directdoc.asp?DDFDocuments/t/G/TBTN24/UGA2069.DOCX")</f>
      </c>
      <c r="P234" s="6">
        <f>HYPERLINK("https://docs.wto.org/imrd/directdoc.asp?DDFDocuments/u/G/TBTN24/UGA2069.DOCX", "https://docs.wto.org/imrd/directdoc.asp?DDFDocuments/u/G/TBTN24/UGA2069.DOCX")</f>
      </c>
      <c r="Q234" s="6">
        <f>HYPERLINK("https://docs.wto.org/imrd/directdoc.asp?DDFDocuments/v/G/TBTN24/UGA2069.DOCX", "https://docs.wto.org/imrd/directdoc.asp?DDFDocuments/v/G/TBTN24/UGA2069.DOCX")</f>
      </c>
    </row>
    <row r="235">
      <c r="A235" s="6" t="s">
        <v>400</v>
      </c>
      <c r="B235" s="7">
        <v>45642</v>
      </c>
      <c r="C235" s="9">
        <f>HYPERLINK("https://eping.wto.org/en/Search?viewData= G/SPS/N/USA/3497"," G/SPS/N/USA/3497")</f>
      </c>
      <c r="D235" s="8" t="s">
        <v>1098</v>
      </c>
      <c r="E235" s="8" t="s">
        <v>1099</v>
      </c>
      <c r="F235" s="8" t="s">
        <v>1100</v>
      </c>
      <c r="G235" s="8" t="s">
        <v>1101</v>
      </c>
      <c r="H235" s="8" t="s">
        <v>57</v>
      </c>
      <c r="I235" s="8" t="s">
        <v>120</v>
      </c>
      <c r="J235" s="8" t="s">
        <v>416</v>
      </c>
      <c r="K235" s="6" t="s">
        <v>22</v>
      </c>
      <c r="L235" s="7" t="s">
        <v>22</v>
      </c>
      <c r="M235" s="6" t="s">
        <v>32</v>
      </c>
      <c r="N235" s="8" t="s">
        <v>1102</v>
      </c>
      <c r="O235" s="6">
        <f>HYPERLINK("https://docs.wto.org/imrd/directdoc.asp?DDFDocuments/t/G/SPS/NUSA3497.DOCX", "https://docs.wto.org/imrd/directdoc.asp?DDFDocuments/t/G/SPS/NUSA3497.DOCX")</f>
      </c>
      <c r="P235" s="6">
        <f>HYPERLINK("https://docs.wto.org/imrd/directdoc.asp?DDFDocuments/u/G/SPS/NUSA3497.DOCX", "https://docs.wto.org/imrd/directdoc.asp?DDFDocuments/u/G/SPS/NUSA3497.DOCX")</f>
      </c>
      <c r="Q235" s="6">
        <f>HYPERLINK("https://docs.wto.org/imrd/directdoc.asp?DDFDocuments/v/G/SPS/NUSA3497.DOCX", "https://docs.wto.org/imrd/directdoc.asp?DDFDocuments/v/G/SPS/NUSA3497.DOCX")</f>
      </c>
    </row>
    <row r="236">
      <c r="A236" s="6" t="s">
        <v>68</v>
      </c>
      <c r="B236" s="7">
        <v>45642</v>
      </c>
      <c r="C236" s="9">
        <f>HYPERLINK("https://eping.wto.org/en/Search?viewData= G/TBT/N/UGA/2063"," G/TBT/N/UGA/2063")</f>
      </c>
      <c r="D236" s="8" t="s">
        <v>1103</v>
      </c>
      <c r="E236" s="8" t="s">
        <v>1104</v>
      </c>
      <c r="F236" s="8" t="s">
        <v>1105</v>
      </c>
      <c r="G236" s="8" t="s">
        <v>1106</v>
      </c>
      <c r="H236" s="8" t="s">
        <v>866</v>
      </c>
      <c r="I236" s="8" t="s">
        <v>1067</v>
      </c>
      <c r="J236" s="8" t="s">
        <v>58</v>
      </c>
      <c r="K236" s="6"/>
      <c r="L236" s="7">
        <v>45702</v>
      </c>
      <c r="M236" s="6" t="s">
        <v>32</v>
      </c>
      <c r="N236" s="8" t="s">
        <v>1107</v>
      </c>
      <c r="O236" s="6">
        <f>HYPERLINK("https://docs.wto.org/imrd/directdoc.asp?DDFDocuments/t/G/TBTN24/UGA2063.DOCX", "https://docs.wto.org/imrd/directdoc.asp?DDFDocuments/t/G/TBTN24/UGA2063.DOCX")</f>
      </c>
      <c r="P236" s="6">
        <f>HYPERLINK("https://docs.wto.org/imrd/directdoc.asp?DDFDocuments/u/G/TBTN24/UGA2063.DOCX", "https://docs.wto.org/imrd/directdoc.asp?DDFDocuments/u/G/TBTN24/UGA2063.DOCX")</f>
      </c>
      <c r="Q236" s="6">
        <f>HYPERLINK("https://docs.wto.org/imrd/directdoc.asp?DDFDocuments/v/G/TBTN24/UGA2063.DOCX", "https://docs.wto.org/imrd/directdoc.asp?DDFDocuments/v/G/TBTN24/UGA2063.DOCX")</f>
      </c>
    </row>
    <row r="237">
      <c r="A237" s="6" t="s">
        <v>68</v>
      </c>
      <c r="B237" s="7">
        <v>45642</v>
      </c>
      <c r="C237" s="9">
        <f>HYPERLINK("https://eping.wto.org/en/Search?viewData= G/TBT/N/UGA/2072"," G/TBT/N/UGA/2072")</f>
      </c>
      <c r="D237" s="8" t="s">
        <v>1108</v>
      </c>
      <c r="E237" s="8" t="s">
        <v>1109</v>
      </c>
      <c r="F237" s="8" t="s">
        <v>1110</v>
      </c>
      <c r="G237" s="8" t="s">
        <v>871</v>
      </c>
      <c r="H237" s="8" t="s">
        <v>1111</v>
      </c>
      <c r="I237" s="8" t="s">
        <v>1067</v>
      </c>
      <c r="J237" s="8" t="s">
        <v>58</v>
      </c>
      <c r="K237" s="6"/>
      <c r="L237" s="7">
        <v>45702</v>
      </c>
      <c r="M237" s="6" t="s">
        <v>32</v>
      </c>
      <c r="N237" s="8" t="s">
        <v>1112</v>
      </c>
      <c r="O237" s="6">
        <f>HYPERLINK("https://docs.wto.org/imrd/directdoc.asp?DDFDocuments/t/G/TBTN24/UGA2072.DOCX", "https://docs.wto.org/imrd/directdoc.asp?DDFDocuments/t/G/TBTN24/UGA2072.DOCX")</f>
      </c>
      <c r="P237" s="6">
        <f>HYPERLINK("https://docs.wto.org/imrd/directdoc.asp?DDFDocuments/u/G/TBTN24/UGA2072.DOCX", "https://docs.wto.org/imrd/directdoc.asp?DDFDocuments/u/G/TBTN24/UGA2072.DOCX")</f>
      </c>
      <c r="Q237" s="6">
        <f>HYPERLINK("https://docs.wto.org/imrd/directdoc.asp?DDFDocuments/v/G/TBTN24/UGA2072.DOCX", "https://docs.wto.org/imrd/directdoc.asp?DDFDocuments/v/G/TBTN24/UGA2072.DOCX")</f>
      </c>
    </row>
    <row r="238">
      <c r="A238" s="6" t="s">
        <v>68</v>
      </c>
      <c r="B238" s="7">
        <v>45642</v>
      </c>
      <c r="C238" s="9">
        <f>HYPERLINK("https://eping.wto.org/en/Search?viewData= G/TBT/N/UGA/2070"," G/TBT/N/UGA/2070")</f>
      </c>
      <c r="D238" s="8" t="s">
        <v>1113</v>
      </c>
      <c r="E238" s="8" t="s">
        <v>1114</v>
      </c>
      <c r="F238" s="8" t="s">
        <v>914</v>
      </c>
      <c r="G238" s="8" t="s">
        <v>915</v>
      </c>
      <c r="H238" s="8" t="s">
        <v>872</v>
      </c>
      <c r="I238" s="8" t="s">
        <v>1067</v>
      </c>
      <c r="J238" s="8" t="s">
        <v>58</v>
      </c>
      <c r="K238" s="6"/>
      <c r="L238" s="7">
        <v>45702</v>
      </c>
      <c r="M238" s="6" t="s">
        <v>32</v>
      </c>
      <c r="N238" s="8" t="s">
        <v>1115</v>
      </c>
      <c r="O238" s="6">
        <f>HYPERLINK("https://docs.wto.org/imrd/directdoc.asp?DDFDocuments/t/G/TBTN24/UGA2070.DOCX", "https://docs.wto.org/imrd/directdoc.asp?DDFDocuments/t/G/TBTN24/UGA2070.DOCX")</f>
      </c>
      <c r="P238" s="6">
        <f>HYPERLINK("https://docs.wto.org/imrd/directdoc.asp?DDFDocuments/u/G/TBTN24/UGA2070.DOCX", "https://docs.wto.org/imrd/directdoc.asp?DDFDocuments/u/G/TBTN24/UGA2070.DOCX")</f>
      </c>
      <c r="Q238" s="6">
        <f>HYPERLINK("https://docs.wto.org/imrd/directdoc.asp?DDFDocuments/v/G/TBTN24/UGA2070.DOCX", "https://docs.wto.org/imrd/directdoc.asp?DDFDocuments/v/G/TBTN24/UGA2070.DOCX")</f>
      </c>
    </row>
    <row r="239">
      <c r="A239" s="6" t="s">
        <v>400</v>
      </c>
      <c r="B239" s="7">
        <v>45642</v>
      </c>
      <c r="C239" s="9">
        <f>HYPERLINK("https://eping.wto.org/en/Search?viewData= G/TBT/N/USA/2107/Add.1"," G/TBT/N/USA/2107/Add.1")</f>
      </c>
      <c r="D239" s="8" t="s">
        <v>1116</v>
      </c>
      <c r="E239" s="8" t="s">
        <v>1117</v>
      </c>
      <c r="F239" s="8" t="s">
        <v>1118</v>
      </c>
      <c r="G239" s="8" t="s">
        <v>22</v>
      </c>
      <c r="H239" s="8" t="s">
        <v>1119</v>
      </c>
      <c r="I239" s="8" t="s">
        <v>411</v>
      </c>
      <c r="J239" s="8" t="s">
        <v>22</v>
      </c>
      <c r="K239" s="6"/>
      <c r="L239" s="7" t="s">
        <v>22</v>
      </c>
      <c r="M239" s="6" t="s">
        <v>40</v>
      </c>
      <c r="N239" s="8" t="s">
        <v>1120</v>
      </c>
      <c r="O239" s="6">
        <f>HYPERLINK("https://docs.wto.org/imrd/directdoc.asp?DDFDocuments/t/G/TBTN24/USA2107A1.DOCX", "https://docs.wto.org/imrd/directdoc.asp?DDFDocuments/t/G/TBTN24/USA2107A1.DOCX")</f>
      </c>
      <c r="P239" s="6">
        <f>HYPERLINK("https://docs.wto.org/imrd/directdoc.asp?DDFDocuments/u/G/TBTN24/USA2107A1.DOCX", "https://docs.wto.org/imrd/directdoc.asp?DDFDocuments/u/G/TBTN24/USA2107A1.DOCX")</f>
      </c>
      <c r="Q239" s="6">
        <f>HYPERLINK("https://docs.wto.org/imrd/directdoc.asp?DDFDocuments/v/G/TBTN24/USA2107A1.DOCX", "https://docs.wto.org/imrd/directdoc.asp?DDFDocuments/v/G/TBTN24/USA2107A1.DOCX")</f>
      </c>
    </row>
    <row r="240">
      <c r="A240" s="6" t="s">
        <v>1121</v>
      </c>
      <c r="B240" s="7">
        <v>45642</v>
      </c>
      <c r="C240" s="9">
        <f>HYPERLINK("https://eping.wto.org/en/Search?viewData= G/SPS/N/HKG/50"," G/SPS/N/HKG/50")</f>
      </c>
      <c r="D240" s="8" t="s">
        <v>1122</v>
      </c>
      <c r="E240" s="8" t="s">
        <v>1123</v>
      </c>
      <c r="F240" s="8" t="s">
        <v>1124</v>
      </c>
      <c r="G240" s="8" t="s">
        <v>22</v>
      </c>
      <c r="H240" s="8" t="s">
        <v>22</v>
      </c>
      <c r="I240" s="8" t="s">
        <v>120</v>
      </c>
      <c r="J240" s="8" t="s">
        <v>1125</v>
      </c>
      <c r="K240" s="6" t="s">
        <v>22</v>
      </c>
      <c r="L240" s="7">
        <v>45704</v>
      </c>
      <c r="M240" s="6" t="s">
        <v>32</v>
      </c>
      <c r="N240" s="8" t="s">
        <v>1126</v>
      </c>
      <c r="O240" s="6">
        <f>HYPERLINK("https://docs.wto.org/imrd/directdoc.asp?DDFDocuments/t/G/SPS/NHKG50.DOCX", "https://docs.wto.org/imrd/directdoc.asp?DDFDocuments/t/G/SPS/NHKG50.DOCX")</f>
      </c>
      <c r="P240" s="6">
        <f>HYPERLINK("https://docs.wto.org/imrd/directdoc.asp?DDFDocuments/u/G/SPS/NHKG50.DOCX", "https://docs.wto.org/imrd/directdoc.asp?DDFDocuments/u/G/SPS/NHKG50.DOCX")</f>
      </c>
      <c r="Q240" s="6">
        <f>HYPERLINK("https://docs.wto.org/imrd/directdoc.asp?DDFDocuments/v/G/SPS/NHKG50.DOCX", "https://docs.wto.org/imrd/directdoc.asp?DDFDocuments/v/G/SPS/NHKG50.DOCX")</f>
      </c>
    </row>
    <row r="241">
      <c r="A241" s="6" t="s">
        <v>170</v>
      </c>
      <c r="B241" s="7">
        <v>45642</v>
      </c>
      <c r="C241" s="9">
        <f>HYPERLINK("https://eping.wto.org/en/Search?viewData= G/SPS/N/SAU/543"," G/SPS/N/SAU/543")</f>
      </c>
      <c r="D241" s="8" t="s">
        <v>1127</v>
      </c>
      <c r="E241" s="8" t="s">
        <v>1128</v>
      </c>
      <c r="F241" s="8" t="s">
        <v>173</v>
      </c>
      <c r="G241" s="8" t="s">
        <v>328</v>
      </c>
      <c r="H241" s="8" t="s">
        <v>22</v>
      </c>
      <c r="I241" s="8" t="s">
        <v>175</v>
      </c>
      <c r="J241" s="8" t="s">
        <v>1129</v>
      </c>
      <c r="K241" s="6" t="s">
        <v>1130</v>
      </c>
      <c r="L241" s="7" t="s">
        <v>22</v>
      </c>
      <c r="M241" s="6" t="s">
        <v>331</v>
      </c>
      <c r="N241" s="8" t="s">
        <v>1131</v>
      </c>
      <c r="O241" s="6">
        <f>HYPERLINK("https://docs.wto.org/imrd/directdoc.asp?DDFDocuments/t/G/SPS/NSAU543.DOCX", "https://docs.wto.org/imrd/directdoc.asp?DDFDocuments/t/G/SPS/NSAU543.DOCX")</f>
      </c>
      <c r="P241" s="6">
        <f>HYPERLINK("https://docs.wto.org/imrd/directdoc.asp?DDFDocuments/u/G/SPS/NSAU543.DOCX", "https://docs.wto.org/imrd/directdoc.asp?DDFDocuments/u/G/SPS/NSAU543.DOCX")</f>
      </c>
      <c r="Q241" s="6">
        <f>HYPERLINK("https://docs.wto.org/imrd/directdoc.asp?DDFDocuments/v/G/SPS/NSAU543.DOCX", "https://docs.wto.org/imrd/directdoc.asp?DDFDocuments/v/G/SPS/NSAU543.DOCX")</f>
      </c>
    </row>
    <row r="242">
      <c r="A242" s="6" t="s">
        <v>49</v>
      </c>
      <c r="B242" s="7">
        <v>45642</v>
      </c>
      <c r="C242" s="9">
        <f>HYPERLINK("https://eping.wto.org/en/Search?viewData= G/TBT/N/TZA/1234"," G/TBT/N/TZA/1234")</f>
      </c>
      <c r="D242" s="8" t="s">
        <v>1132</v>
      </c>
      <c r="E242" s="8" t="s">
        <v>1133</v>
      </c>
      <c r="F242" s="8" t="s">
        <v>1134</v>
      </c>
      <c r="G242" s="8" t="s">
        <v>1135</v>
      </c>
      <c r="H242" s="8" t="s">
        <v>1136</v>
      </c>
      <c r="I242" s="8" t="s">
        <v>1058</v>
      </c>
      <c r="J242" s="8" t="s">
        <v>58</v>
      </c>
      <c r="K242" s="6"/>
      <c r="L242" s="7">
        <v>45702</v>
      </c>
      <c r="M242" s="6" t="s">
        <v>32</v>
      </c>
      <c r="N242" s="8" t="s">
        <v>1137</v>
      </c>
      <c r="O242" s="6">
        <f>HYPERLINK("https://docs.wto.org/imrd/directdoc.asp?DDFDocuments/t/G/TBTN24/TZA1234.DOCX", "https://docs.wto.org/imrd/directdoc.asp?DDFDocuments/t/G/TBTN24/TZA1234.DOCX")</f>
      </c>
      <c r="P242" s="6">
        <f>HYPERLINK("https://docs.wto.org/imrd/directdoc.asp?DDFDocuments/u/G/TBTN24/TZA1234.DOCX", "https://docs.wto.org/imrd/directdoc.asp?DDFDocuments/u/G/TBTN24/TZA1234.DOCX")</f>
      </c>
      <c r="Q242" s="6">
        <f>HYPERLINK("https://docs.wto.org/imrd/directdoc.asp?DDFDocuments/v/G/TBTN24/TZA1234.DOCX", "https://docs.wto.org/imrd/directdoc.asp?DDFDocuments/v/G/TBTN24/TZA1234.DOCX")</f>
      </c>
    </row>
    <row r="243">
      <c r="A243" s="6" t="s">
        <v>68</v>
      </c>
      <c r="B243" s="7">
        <v>45642</v>
      </c>
      <c r="C243" s="9">
        <f>HYPERLINK("https://eping.wto.org/en/Search?viewData= G/SPS/N/UGA/396"," G/SPS/N/UGA/396")</f>
      </c>
      <c r="D243" s="8" t="s">
        <v>1138</v>
      </c>
      <c r="E243" s="8" t="s">
        <v>1139</v>
      </c>
      <c r="F243" s="8" t="s">
        <v>1140</v>
      </c>
      <c r="G243" s="8" t="s">
        <v>1085</v>
      </c>
      <c r="H243" s="8" t="s">
        <v>866</v>
      </c>
      <c r="I243" s="8" t="s">
        <v>120</v>
      </c>
      <c r="J243" s="8" t="s">
        <v>255</v>
      </c>
      <c r="K243" s="6"/>
      <c r="L243" s="7">
        <v>45702</v>
      </c>
      <c r="M243" s="6" t="s">
        <v>32</v>
      </c>
      <c r="N243" s="8" t="s">
        <v>1141</v>
      </c>
      <c r="O243" s="6">
        <f>HYPERLINK("https://docs.wto.org/imrd/directdoc.asp?DDFDocuments/t/G/SPS/NUGA396.DOCX", "https://docs.wto.org/imrd/directdoc.asp?DDFDocuments/t/G/SPS/NUGA396.DOCX")</f>
      </c>
      <c r="P243" s="6">
        <f>HYPERLINK("https://docs.wto.org/imrd/directdoc.asp?DDFDocuments/u/G/SPS/NUGA396.DOCX", "https://docs.wto.org/imrd/directdoc.asp?DDFDocuments/u/G/SPS/NUGA396.DOCX")</f>
      </c>
      <c r="Q243" s="6">
        <f>HYPERLINK("https://docs.wto.org/imrd/directdoc.asp?DDFDocuments/v/G/SPS/NUGA396.DOCX", "https://docs.wto.org/imrd/directdoc.asp?DDFDocuments/v/G/SPS/NUGA396.DOCX")</f>
      </c>
    </row>
    <row r="244">
      <c r="A244" s="6" t="s">
        <v>49</v>
      </c>
      <c r="B244" s="7">
        <v>45642</v>
      </c>
      <c r="C244" s="9">
        <f>HYPERLINK("https://eping.wto.org/en/Search?viewData= G/TBT/N/TZA/1236"," G/TBT/N/TZA/1236")</f>
      </c>
      <c r="D244" s="8" t="s">
        <v>1142</v>
      </c>
      <c r="E244" s="8" t="s">
        <v>1143</v>
      </c>
      <c r="F244" s="8" t="s">
        <v>1144</v>
      </c>
      <c r="G244" s="8" t="s">
        <v>1145</v>
      </c>
      <c r="H244" s="8" t="s">
        <v>1136</v>
      </c>
      <c r="I244" s="8" t="s">
        <v>1058</v>
      </c>
      <c r="J244" s="8" t="s">
        <v>58</v>
      </c>
      <c r="K244" s="6"/>
      <c r="L244" s="7">
        <v>45702</v>
      </c>
      <c r="M244" s="6" t="s">
        <v>32</v>
      </c>
      <c r="N244" s="8" t="s">
        <v>1146</v>
      </c>
      <c r="O244" s="6">
        <f>HYPERLINK("https://docs.wto.org/imrd/directdoc.asp?DDFDocuments/t/G/TBTN24/TZA1236.DOCX", "https://docs.wto.org/imrd/directdoc.asp?DDFDocuments/t/G/TBTN24/TZA1236.DOCX")</f>
      </c>
      <c r="P244" s="6">
        <f>HYPERLINK("https://docs.wto.org/imrd/directdoc.asp?DDFDocuments/u/G/TBTN24/TZA1236.DOCX", "https://docs.wto.org/imrd/directdoc.asp?DDFDocuments/u/G/TBTN24/TZA1236.DOCX")</f>
      </c>
      <c r="Q244" s="6">
        <f>HYPERLINK("https://docs.wto.org/imrd/directdoc.asp?DDFDocuments/v/G/TBTN24/TZA1236.DOCX", "https://docs.wto.org/imrd/directdoc.asp?DDFDocuments/v/G/TBTN24/TZA1236.DOCX")</f>
      </c>
    </row>
    <row r="245">
      <c r="A245" s="6" t="s">
        <v>68</v>
      </c>
      <c r="B245" s="7">
        <v>45642</v>
      </c>
      <c r="C245" s="9">
        <f>HYPERLINK("https://eping.wto.org/en/Search?viewData= G/TBT/N/UGA/2073"," G/TBT/N/UGA/2073")</f>
      </c>
      <c r="D245" s="8" t="s">
        <v>1147</v>
      </c>
      <c r="E245" s="8" t="s">
        <v>1148</v>
      </c>
      <c r="F245" s="8" t="s">
        <v>1149</v>
      </c>
      <c r="G245" s="8" t="s">
        <v>964</v>
      </c>
      <c r="H245" s="8" t="s">
        <v>1111</v>
      </c>
      <c r="I245" s="8" t="s">
        <v>1067</v>
      </c>
      <c r="J245" s="8" t="s">
        <v>58</v>
      </c>
      <c r="K245" s="6"/>
      <c r="L245" s="7">
        <v>45702</v>
      </c>
      <c r="M245" s="6" t="s">
        <v>32</v>
      </c>
      <c r="N245" s="8" t="s">
        <v>1150</v>
      </c>
      <c r="O245" s="6">
        <f>HYPERLINK("https://docs.wto.org/imrd/directdoc.asp?DDFDocuments/t/G/TBTN24/UGA2073.DOCX", "https://docs.wto.org/imrd/directdoc.asp?DDFDocuments/t/G/TBTN24/UGA2073.DOCX")</f>
      </c>
      <c r="P245" s="6">
        <f>HYPERLINK("https://docs.wto.org/imrd/directdoc.asp?DDFDocuments/u/G/TBTN24/UGA2073.DOCX", "https://docs.wto.org/imrd/directdoc.asp?DDFDocuments/u/G/TBTN24/UGA2073.DOCX")</f>
      </c>
      <c r="Q245" s="6">
        <f>HYPERLINK("https://docs.wto.org/imrd/directdoc.asp?DDFDocuments/v/G/TBTN24/UGA2073.DOCX", "https://docs.wto.org/imrd/directdoc.asp?DDFDocuments/v/G/TBTN24/UGA2073.DOCX")</f>
      </c>
    </row>
    <row r="246">
      <c r="A246" s="6" t="s">
        <v>68</v>
      </c>
      <c r="B246" s="7">
        <v>45642</v>
      </c>
      <c r="C246" s="9">
        <f>HYPERLINK("https://eping.wto.org/en/Search?viewData= G/TBT/N/UGA/2066"," G/TBT/N/UGA/2066")</f>
      </c>
      <c r="D246" s="8" t="s">
        <v>1151</v>
      </c>
      <c r="E246" s="8" t="s">
        <v>1152</v>
      </c>
      <c r="F246" s="8" t="s">
        <v>886</v>
      </c>
      <c r="G246" s="8" t="s">
        <v>887</v>
      </c>
      <c r="H246" s="8" t="s">
        <v>866</v>
      </c>
      <c r="I246" s="8" t="s">
        <v>1067</v>
      </c>
      <c r="J246" s="8" t="s">
        <v>58</v>
      </c>
      <c r="K246" s="6"/>
      <c r="L246" s="7">
        <v>45702</v>
      </c>
      <c r="M246" s="6" t="s">
        <v>32</v>
      </c>
      <c r="N246" s="8" t="s">
        <v>1153</v>
      </c>
      <c r="O246" s="6">
        <f>HYPERLINK("https://docs.wto.org/imrd/directdoc.asp?DDFDocuments/t/G/TBTN24/UGA2066.DOCX", "https://docs.wto.org/imrd/directdoc.asp?DDFDocuments/t/G/TBTN24/UGA2066.DOCX")</f>
      </c>
      <c r="P246" s="6">
        <f>HYPERLINK("https://docs.wto.org/imrd/directdoc.asp?DDFDocuments/u/G/TBTN24/UGA2066.DOCX", "https://docs.wto.org/imrd/directdoc.asp?DDFDocuments/u/G/TBTN24/UGA2066.DOCX")</f>
      </c>
      <c r="Q246" s="6">
        <f>HYPERLINK("https://docs.wto.org/imrd/directdoc.asp?DDFDocuments/v/G/TBTN24/UGA2066.DOCX", "https://docs.wto.org/imrd/directdoc.asp?DDFDocuments/v/G/TBTN24/UGA2066.DOCX")</f>
      </c>
    </row>
    <row r="247">
      <c r="A247" s="6" t="s">
        <v>68</v>
      </c>
      <c r="B247" s="7">
        <v>45642</v>
      </c>
      <c r="C247" s="9">
        <f>HYPERLINK("https://eping.wto.org/en/Search?viewData= G/TBT/N/UGA/2065"," G/TBT/N/UGA/2065")</f>
      </c>
      <c r="D247" s="8" t="s">
        <v>1154</v>
      </c>
      <c r="E247" s="8" t="s">
        <v>1155</v>
      </c>
      <c r="F247" s="8" t="s">
        <v>1024</v>
      </c>
      <c r="G247" s="8" t="s">
        <v>1025</v>
      </c>
      <c r="H247" s="8" t="s">
        <v>866</v>
      </c>
      <c r="I247" s="8" t="s">
        <v>1067</v>
      </c>
      <c r="J247" s="8" t="s">
        <v>58</v>
      </c>
      <c r="K247" s="6"/>
      <c r="L247" s="7">
        <v>45702</v>
      </c>
      <c r="M247" s="6" t="s">
        <v>32</v>
      </c>
      <c r="N247" s="8" t="s">
        <v>1156</v>
      </c>
      <c r="O247" s="6">
        <f>HYPERLINK("https://docs.wto.org/imrd/directdoc.asp?DDFDocuments/t/G/TBTN24/UGA2065.DOCX", "https://docs.wto.org/imrd/directdoc.asp?DDFDocuments/t/G/TBTN24/UGA2065.DOCX")</f>
      </c>
      <c r="P247" s="6">
        <f>HYPERLINK("https://docs.wto.org/imrd/directdoc.asp?DDFDocuments/u/G/TBTN24/UGA2065.DOCX", "https://docs.wto.org/imrd/directdoc.asp?DDFDocuments/u/G/TBTN24/UGA2065.DOCX")</f>
      </c>
      <c r="Q247" s="6">
        <f>HYPERLINK("https://docs.wto.org/imrd/directdoc.asp?DDFDocuments/v/G/TBTN24/UGA2065.DOCX", "https://docs.wto.org/imrd/directdoc.asp?DDFDocuments/v/G/TBTN24/UGA2065.DOCX")</f>
      </c>
    </row>
    <row r="248">
      <c r="A248" s="6" t="s">
        <v>68</v>
      </c>
      <c r="B248" s="7">
        <v>45642</v>
      </c>
      <c r="C248" s="9">
        <f>HYPERLINK("https://eping.wto.org/en/Search?viewData= G/TBT/N/UGA/2064"," G/TBT/N/UGA/2064")</f>
      </c>
      <c r="D248" s="8" t="s">
        <v>1157</v>
      </c>
      <c r="E248" s="8" t="s">
        <v>1158</v>
      </c>
      <c r="F248" s="8" t="s">
        <v>864</v>
      </c>
      <c r="G248" s="8" t="s">
        <v>865</v>
      </c>
      <c r="H248" s="8" t="s">
        <v>866</v>
      </c>
      <c r="I248" s="8" t="s">
        <v>1067</v>
      </c>
      <c r="J248" s="8" t="s">
        <v>58</v>
      </c>
      <c r="K248" s="6"/>
      <c r="L248" s="7">
        <v>45702</v>
      </c>
      <c r="M248" s="6" t="s">
        <v>32</v>
      </c>
      <c r="N248" s="8" t="s">
        <v>1159</v>
      </c>
      <c r="O248" s="6">
        <f>HYPERLINK("https://docs.wto.org/imrd/directdoc.asp?DDFDocuments/t/G/TBTN24/UGA2064.DOCX", "https://docs.wto.org/imrd/directdoc.asp?DDFDocuments/t/G/TBTN24/UGA2064.DOCX")</f>
      </c>
      <c r="P248" s="6">
        <f>HYPERLINK("https://docs.wto.org/imrd/directdoc.asp?DDFDocuments/u/G/TBTN24/UGA2064.DOCX", "https://docs.wto.org/imrd/directdoc.asp?DDFDocuments/u/G/TBTN24/UGA2064.DOCX")</f>
      </c>
      <c r="Q248" s="6">
        <f>HYPERLINK("https://docs.wto.org/imrd/directdoc.asp?DDFDocuments/v/G/TBTN24/UGA2064.DOCX", "https://docs.wto.org/imrd/directdoc.asp?DDFDocuments/v/G/TBTN24/UGA2064.DOCX")</f>
      </c>
    </row>
    <row r="249">
      <c r="A249" s="6" t="s">
        <v>68</v>
      </c>
      <c r="B249" s="7">
        <v>45642</v>
      </c>
      <c r="C249" s="9">
        <f>HYPERLINK("https://eping.wto.org/en/Search?viewData= G/SPS/N/UGA/398"," G/SPS/N/UGA/398")</f>
      </c>
      <c r="D249" s="8" t="s">
        <v>1160</v>
      </c>
      <c r="E249" s="8" t="s">
        <v>1161</v>
      </c>
      <c r="F249" s="8" t="s">
        <v>1162</v>
      </c>
      <c r="G249" s="8" t="s">
        <v>1072</v>
      </c>
      <c r="H249" s="8" t="s">
        <v>866</v>
      </c>
      <c r="I249" s="8" t="s">
        <v>120</v>
      </c>
      <c r="J249" s="8" t="s">
        <v>255</v>
      </c>
      <c r="K249" s="6"/>
      <c r="L249" s="7">
        <v>45702</v>
      </c>
      <c r="M249" s="6" t="s">
        <v>32</v>
      </c>
      <c r="N249" s="8" t="s">
        <v>1163</v>
      </c>
      <c r="O249" s="6">
        <f>HYPERLINK("https://docs.wto.org/imrd/directdoc.asp?DDFDocuments/t/G/SPS/NUGA398.DOCX", "https://docs.wto.org/imrd/directdoc.asp?DDFDocuments/t/G/SPS/NUGA398.DOCX")</f>
      </c>
      <c r="P249" s="6">
        <f>HYPERLINK("https://docs.wto.org/imrd/directdoc.asp?DDFDocuments/u/G/SPS/NUGA398.DOCX", "https://docs.wto.org/imrd/directdoc.asp?DDFDocuments/u/G/SPS/NUGA398.DOCX")</f>
      </c>
      <c r="Q249" s="6">
        <f>HYPERLINK("https://docs.wto.org/imrd/directdoc.asp?DDFDocuments/v/G/SPS/NUGA398.DOCX", "https://docs.wto.org/imrd/directdoc.asp?DDFDocuments/v/G/SPS/NUGA398.DOCX")</f>
      </c>
    </row>
    <row r="250">
      <c r="A250" s="6" t="s">
        <v>49</v>
      </c>
      <c r="B250" s="7">
        <v>45642</v>
      </c>
      <c r="C250" s="9">
        <f>HYPERLINK("https://eping.wto.org/en/Search?viewData= G/TBT/N/TZA/1228"," G/TBT/N/TZA/1228")</f>
      </c>
      <c r="D250" s="8" t="s">
        <v>1164</v>
      </c>
      <c r="E250" s="8" t="s">
        <v>1165</v>
      </c>
      <c r="F250" s="8" t="s">
        <v>1055</v>
      </c>
      <c r="G250" s="8" t="s">
        <v>1056</v>
      </c>
      <c r="H250" s="8" t="s">
        <v>1057</v>
      </c>
      <c r="I250" s="8" t="s">
        <v>1058</v>
      </c>
      <c r="J250" s="8" t="s">
        <v>58</v>
      </c>
      <c r="K250" s="6"/>
      <c r="L250" s="7">
        <v>45702</v>
      </c>
      <c r="M250" s="6" t="s">
        <v>32</v>
      </c>
      <c r="N250" s="8" t="s">
        <v>1166</v>
      </c>
      <c r="O250" s="6">
        <f>HYPERLINK("https://docs.wto.org/imrd/directdoc.asp?DDFDocuments/t/G/TBTN24/TZA1228.DOCX", "https://docs.wto.org/imrd/directdoc.asp?DDFDocuments/t/G/TBTN24/TZA1228.DOCX")</f>
      </c>
      <c r="P250" s="6">
        <f>HYPERLINK("https://docs.wto.org/imrd/directdoc.asp?DDFDocuments/u/G/TBTN24/TZA1228.DOCX", "https://docs.wto.org/imrd/directdoc.asp?DDFDocuments/u/G/TBTN24/TZA1228.DOCX")</f>
      </c>
      <c r="Q250" s="6">
        <f>HYPERLINK("https://docs.wto.org/imrd/directdoc.asp?DDFDocuments/v/G/TBTN24/TZA1228.DOCX", "https://docs.wto.org/imrd/directdoc.asp?DDFDocuments/v/G/TBTN24/TZA1228.DOCX")</f>
      </c>
    </row>
    <row r="251">
      <c r="A251" s="6" t="s">
        <v>847</v>
      </c>
      <c r="B251" s="7">
        <v>45642</v>
      </c>
      <c r="C251" s="9">
        <f>HYPERLINK("https://eping.wto.org/en/Search?viewData= G/TBT/N/UKR/309/Rev.1"," G/TBT/N/UKR/309/Rev.1")</f>
      </c>
      <c r="D251" s="8" t="s">
        <v>1167</v>
      </c>
      <c r="E251" s="8" t="s">
        <v>1168</v>
      </c>
      <c r="F251" s="8" t="s">
        <v>758</v>
      </c>
      <c r="G251" s="8" t="s">
        <v>22</v>
      </c>
      <c r="H251" s="8" t="s">
        <v>1169</v>
      </c>
      <c r="I251" s="8" t="s">
        <v>39</v>
      </c>
      <c r="J251" s="8" t="s">
        <v>139</v>
      </c>
      <c r="K251" s="6"/>
      <c r="L251" s="7">
        <v>45702</v>
      </c>
      <c r="M251" s="6" t="s">
        <v>1170</v>
      </c>
      <c r="N251" s="8" t="s">
        <v>1171</v>
      </c>
      <c r="O251" s="6">
        <f>HYPERLINK("https://docs.wto.org/imrd/directdoc.asp?DDFDocuments/t/G/TBTN24/UKR309R1.DOCX", "https://docs.wto.org/imrd/directdoc.asp?DDFDocuments/t/G/TBTN24/UKR309R1.DOCX")</f>
      </c>
      <c r="P251" s="6">
        <f>HYPERLINK("https://docs.wto.org/imrd/directdoc.asp?DDFDocuments/u/G/TBTN24/UKR309R1.DOCX", "https://docs.wto.org/imrd/directdoc.asp?DDFDocuments/u/G/TBTN24/UKR309R1.DOCX")</f>
      </c>
      <c r="Q251" s="6">
        <f>HYPERLINK("https://docs.wto.org/imrd/directdoc.asp?DDFDocuments/v/G/TBTN24/UKR309R1.DOCX", "https://docs.wto.org/imrd/directdoc.asp?DDFDocuments/v/G/TBTN24/UKR309R1.DOCX")</f>
      </c>
    </row>
    <row r="252">
      <c r="A252" s="6" t="s">
        <v>68</v>
      </c>
      <c r="B252" s="7">
        <v>45642</v>
      </c>
      <c r="C252" s="9">
        <f>HYPERLINK("https://eping.wto.org/en/Search?viewData= G/TBT/N/UGA/2068"," G/TBT/N/UGA/2068")</f>
      </c>
      <c r="D252" s="8" t="s">
        <v>1172</v>
      </c>
      <c r="E252" s="8" t="s">
        <v>1173</v>
      </c>
      <c r="F252" s="8" t="s">
        <v>1015</v>
      </c>
      <c r="G252" s="8" t="s">
        <v>871</v>
      </c>
      <c r="H252" s="8" t="s">
        <v>872</v>
      </c>
      <c r="I252" s="8" t="s">
        <v>1067</v>
      </c>
      <c r="J252" s="8" t="s">
        <v>58</v>
      </c>
      <c r="K252" s="6"/>
      <c r="L252" s="7">
        <v>45702</v>
      </c>
      <c r="M252" s="6" t="s">
        <v>32</v>
      </c>
      <c r="N252" s="8" t="s">
        <v>1174</v>
      </c>
      <c r="O252" s="6">
        <f>HYPERLINK("https://docs.wto.org/imrd/directdoc.asp?DDFDocuments/t/G/TBTN24/UGA2068.DOCX", "https://docs.wto.org/imrd/directdoc.asp?DDFDocuments/t/G/TBTN24/UGA2068.DOCX")</f>
      </c>
      <c r="P252" s="6">
        <f>HYPERLINK("https://docs.wto.org/imrd/directdoc.asp?DDFDocuments/u/G/TBTN24/UGA2068.DOCX", "https://docs.wto.org/imrd/directdoc.asp?DDFDocuments/u/G/TBTN24/UGA2068.DOCX")</f>
      </c>
      <c r="Q252" s="6">
        <f>HYPERLINK("https://docs.wto.org/imrd/directdoc.asp?DDFDocuments/v/G/TBTN24/UGA2068.DOCX", "https://docs.wto.org/imrd/directdoc.asp?DDFDocuments/v/G/TBTN24/UGA2068.DOCX")</f>
      </c>
    </row>
    <row r="253">
      <c r="A253" s="6" t="s">
        <v>360</v>
      </c>
      <c r="B253" s="7">
        <v>45642</v>
      </c>
      <c r="C253" s="9">
        <f>HYPERLINK("https://eping.wto.org/en/Search?viewData= G/SPS/N/CHL/797/Add.1"," G/SPS/N/CHL/797/Add.1")</f>
      </c>
      <c r="D253" s="8" t="s">
        <v>1175</v>
      </c>
      <c r="E253" s="8" t="s">
        <v>1175</v>
      </c>
      <c r="F253" s="8" t="s">
        <v>1176</v>
      </c>
      <c r="G253" s="8" t="s">
        <v>22</v>
      </c>
      <c r="H253" s="8" t="s">
        <v>22</v>
      </c>
      <c r="I253" s="8" t="s">
        <v>348</v>
      </c>
      <c r="J253" s="8" t="s">
        <v>1177</v>
      </c>
      <c r="K253" s="6"/>
      <c r="L253" s="7" t="s">
        <v>22</v>
      </c>
      <c r="M253" s="6" t="s">
        <v>40</v>
      </c>
      <c r="N253" s="8" t="s">
        <v>1178</v>
      </c>
      <c r="O253" s="6">
        <f>HYPERLINK("https://docs.wto.org/imrd/directdoc.asp?DDFDocuments/t/G/SPS/NCHL797A1.DOCX", "https://docs.wto.org/imrd/directdoc.asp?DDFDocuments/t/G/SPS/NCHL797A1.DOCX")</f>
      </c>
      <c r="P253" s="6">
        <f>HYPERLINK("https://docs.wto.org/imrd/directdoc.asp?DDFDocuments/u/G/SPS/NCHL797A1.DOCX", "https://docs.wto.org/imrd/directdoc.asp?DDFDocuments/u/G/SPS/NCHL797A1.DOCX")</f>
      </c>
      <c r="Q253" s="6">
        <f>HYPERLINK("https://docs.wto.org/imrd/directdoc.asp?DDFDocuments/v/G/SPS/NCHL797A1.DOCX", "https://docs.wto.org/imrd/directdoc.asp?DDFDocuments/v/G/SPS/NCHL797A1.DOCX")</f>
      </c>
    </row>
    <row r="254">
      <c r="A254" s="6" t="s">
        <v>49</v>
      </c>
      <c r="B254" s="7">
        <v>45642</v>
      </c>
      <c r="C254" s="9">
        <f>HYPERLINK("https://eping.wto.org/en/Search?viewData= G/TBT/N/TZA/1233"," G/TBT/N/TZA/1233")</f>
      </c>
      <c r="D254" s="8" t="s">
        <v>1179</v>
      </c>
      <c r="E254" s="8" t="s">
        <v>1180</v>
      </c>
      <c r="F254" s="8" t="s">
        <v>1181</v>
      </c>
      <c r="G254" s="8" t="s">
        <v>1182</v>
      </c>
      <c r="H254" s="8" t="s">
        <v>1136</v>
      </c>
      <c r="I254" s="8" t="s">
        <v>1058</v>
      </c>
      <c r="J254" s="8" t="s">
        <v>58</v>
      </c>
      <c r="K254" s="6"/>
      <c r="L254" s="7">
        <v>45702</v>
      </c>
      <c r="M254" s="6" t="s">
        <v>32</v>
      </c>
      <c r="N254" s="8" t="s">
        <v>1183</v>
      </c>
      <c r="O254" s="6">
        <f>HYPERLINK("https://docs.wto.org/imrd/directdoc.asp?DDFDocuments/t/G/TBTN24/TZA1233.DOCX", "https://docs.wto.org/imrd/directdoc.asp?DDFDocuments/t/G/TBTN24/TZA1233.DOCX")</f>
      </c>
      <c r="P254" s="6">
        <f>HYPERLINK("https://docs.wto.org/imrd/directdoc.asp?DDFDocuments/u/G/TBTN24/TZA1233.DOCX", "https://docs.wto.org/imrd/directdoc.asp?DDFDocuments/u/G/TBTN24/TZA1233.DOCX")</f>
      </c>
      <c r="Q254" s="6">
        <f>HYPERLINK("https://docs.wto.org/imrd/directdoc.asp?DDFDocuments/v/G/TBTN24/TZA1233.DOCX", "https://docs.wto.org/imrd/directdoc.asp?DDFDocuments/v/G/TBTN24/TZA1233.DOCX")</f>
      </c>
    </row>
    <row r="255">
      <c r="A255" s="6" t="s">
        <v>132</v>
      </c>
      <c r="B255" s="7">
        <v>45642</v>
      </c>
      <c r="C255" s="9">
        <f>HYPERLINK("https://eping.wto.org/en/Search?viewData= G/SPS/N/CAN/1449/Add.1"," G/SPS/N/CAN/1449/Add.1")</f>
      </c>
      <c r="D255" s="8" t="s">
        <v>1184</v>
      </c>
      <c r="E255" s="8" t="s">
        <v>1185</v>
      </c>
      <c r="F255" s="8" t="s">
        <v>1186</v>
      </c>
      <c r="G255" s="8" t="s">
        <v>22</v>
      </c>
      <c r="H255" s="8" t="s">
        <v>22</v>
      </c>
      <c r="I255" s="8" t="s">
        <v>390</v>
      </c>
      <c r="J255" s="8" t="s">
        <v>1187</v>
      </c>
      <c r="K255" s="6"/>
      <c r="L255" s="7" t="s">
        <v>22</v>
      </c>
      <c r="M255" s="6" t="s">
        <v>40</v>
      </c>
      <c r="N255" s="6"/>
      <c r="O255" s="6">
        <f>HYPERLINK("https://docs.wto.org/imrd/directdoc.asp?DDFDocuments/t/G/SPS/NCAN1449A1.DOCX", "https://docs.wto.org/imrd/directdoc.asp?DDFDocuments/t/G/SPS/NCAN1449A1.DOCX")</f>
      </c>
      <c r="P255" s="6">
        <f>HYPERLINK("https://docs.wto.org/imrd/directdoc.asp?DDFDocuments/u/G/SPS/NCAN1449A1.DOCX", "https://docs.wto.org/imrd/directdoc.asp?DDFDocuments/u/G/SPS/NCAN1449A1.DOCX")</f>
      </c>
      <c r="Q255" s="6">
        <f>HYPERLINK("https://docs.wto.org/imrd/directdoc.asp?DDFDocuments/v/G/SPS/NCAN1449A1.DOCX", "https://docs.wto.org/imrd/directdoc.asp?DDFDocuments/v/G/SPS/NCAN1449A1.DOCX")</f>
      </c>
    </row>
    <row r="256">
      <c r="A256" s="6" t="s">
        <v>49</v>
      </c>
      <c r="B256" s="7">
        <v>45642</v>
      </c>
      <c r="C256" s="9">
        <f>HYPERLINK("https://eping.wto.org/en/Search?viewData= G/TBT/N/TZA/1235"," G/TBT/N/TZA/1235")</f>
      </c>
      <c r="D256" s="8" t="s">
        <v>1188</v>
      </c>
      <c r="E256" s="8" t="s">
        <v>1189</v>
      </c>
      <c r="F256" s="8" t="s">
        <v>1190</v>
      </c>
      <c r="G256" s="8" t="s">
        <v>1191</v>
      </c>
      <c r="H256" s="8" t="s">
        <v>1192</v>
      </c>
      <c r="I256" s="8" t="s">
        <v>1058</v>
      </c>
      <c r="J256" s="8" t="s">
        <v>58</v>
      </c>
      <c r="K256" s="6"/>
      <c r="L256" s="7">
        <v>45702</v>
      </c>
      <c r="M256" s="6" t="s">
        <v>32</v>
      </c>
      <c r="N256" s="8" t="s">
        <v>1193</v>
      </c>
      <c r="O256" s="6">
        <f>HYPERLINK("https://docs.wto.org/imrd/directdoc.asp?DDFDocuments/t/G/TBTN24/TZA1235.DOCX", "https://docs.wto.org/imrd/directdoc.asp?DDFDocuments/t/G/TBTN24/TZA1235.DOCX")</f>
      </c>
      <c r="P256" s="6">
        <f>HYPERLINK("https://docs.wto.org/imrd/directdoc.asp?DDFDocuments/u/G/TBTN24/TZA1235.DOCX", "https://docs.wto.org/imrd/directdoc.asp?DDFDocuments/u/G/TBTN24/TZA1235.DOCX")</f>
      </c>
      <c r="Q256" s="6">
        <f>HYPERLINK("https://docs.wto.org/imrd/directdoc.asp?DDFDocuments/v/G/TBTN24/TZA1235.DOCX", "https://docs.wto.org/imrd/directdoc.asp?DDFDocuments/v/G/TBTN24/TZA1235.DOCX")</f>
      </c>
    </row>
    <row r="257">
      <c r="A257" s="6" t="s">
        <v>68</v>
      </c>
      <c r="B257" s="7">
        <v>45642</v>
      </c>
      <c r="C257" s="9">
        <f>HYPERLINK("https://eping.wto.org/en/Search?viewData= G/SPS/N/UGA/397"," G/SPS/N/UGA/397")</f>
      </c>
      <c r="D257" s="8" t="s">
        <v>1194</v>
      </c>
      <c r="E257" s="8" t="s">
        <v>1195</v>
      </c>
      <c r="F257" s="8" t="s">
        <v>1196</v>
      </c>
      <c r="G257" s="8" t="s">
        <v>1106</v>
      </c>
      <c r="H257" s="8" t="s">
        <v>866</v>
      </c>
      <c r="I257" s="8" t="s">
        <v>120</v>
      </c>
      <c r="J257" s="8" t="s">
        <v>416</v>
      </c>
      <c r="K257" s="6"/>
      <c r="L257" s="7">
        <v>45702</v>
      </c>
      <c r="M257" s="6" t="s">
        <v>32</v>
      </c>
      <c r="N257" s="8" t="s">
        <v>1197</v>
      </c>
      <c r="O257" s="6">
        <f>HYPERLINK("https://docs.wto.org/imrd/directdoc.asp?DDFDocuments/t/G/SPS/NUGA397.DOCX", "https://docs.wto.org/imrd/directdoc.asp?DDFDocuments/t/G/SPS/NUGA397.DOCX")</f>
      </c>
      <c r="P257" s="6">
        <f>HYPERLINK("https://docs.wto.org/imrd/directdoc.asp?DDFDocuments/u/G/SPS/NUGA397.DOCX", "https://docs.wto.org/imrd/directdoc.asp?DDFDocuments/u/G/SPS/NUGA397.DOCX")</f>
      </c>
      <c r="Q257" s="6">
        <f>HYPERLINK("https://docs.wto.org/imrd/directdoc.asp?DDFDocuments/v/G/SPS/NUGA397.DOCX", "https://docs.wto.org/imrd/directdoc.asp?DDFDocuments/v/G/SPS/NUGA397.DOCX")</f>
      </c>
    </row>
    <row r="258">
      <c r="A258" s="6" t="s">
        <v>400</v>
      </c>
      <c r="B258" s="7">
        <v>45642</v>
      </c>
      <c r="C258" s="9">
        <f>HYPERLINK("https://eping.wto.org/en/Search?viewData= G/TBT/N/USA/2167"," G/TBT/N/USA/2167")</f>
      </c>
      <c r="D258" s="8" t="s">
        <v>1198</v>
      </c>
      <c r="E258" s="8" t="s">
        <v>1199</v>
      </c>
      <c r="F258" s="8" t="s">
        <v>1200</v>
      </c>
      <c r="G258" s="8" t="s">
        <v>22</v>
      </c>
      <c r="H258" s="8" t="s">
        <v>1201</v>
      </c>
      <c r="I258" s="8" t="s">
        <v>596</v>
      </c>
      <c r="J258" s="8" t="s">
        <v>22</v>
      </c>
      <c r="K258" s="6"/>
      <c r="L258" s="7">
        <v>45664</v>
      </c>
      <c r="M258" s="6" t="s">
        <v>32</v>
      </c>
      <c r="N258" s="8" t="s">
        <v>1202</v>
      </c>
      <c r="O258" s="6">
        <f>HYPERLINK("https://docs.wto.org/imrd/directdoc.asp?DDFDocuments/t/G/TBTN24/USA2167.DOCX", "https://docs.wto.org/imrd/directdoc.asp?DDFDocuments/t/G/TBTN24/USA2167.DOCX")</f>
      </c>
      <c r="P258" s="6">
        <f>HYPERLINK("https://docs.wto.org/imrd/directdoc.asp?DDFDocuments/u/G/TBTN24/USA2167.DOCX", "https://docs.wto.org/imrd/directdoc.asp?DDFDocuments/u/G/TBTN24/USA2167.DOCX")</f>
      </c>
      <c r="Q258" s="6">
        <f>HYPERLINK("https://docs.wto.org/imrd/directdoc.asp?DDFDocuments/v/G/TBTN24/USA2167.DOCX", "https://docs.wto.org/imrd/directdoc.asp?DDFDocuments/v/G/TBTN24/USA2167.DOCX")</f>
      </c>
    </row>
    <row r="259">
      <c r="A259" s="6" t="s">
        <v>418</v>
      </c>
      <c r="B259" s="7">
        <v>45642</v>
      </c>
      <c r="C259" s="9">
        <f>HYPERLINK("https://eping.wto.org/en/Search?viewData= G/SPS/N/EU/802"," G/SPS/N/EU/802")</f>
      </c>
      <c r="D259" s="8" t="s">
        <v>1203</v>
      </c>
      <c r="E259" s="8" t="s">
        <v>1204</v>
      </c>
      <c r="F259" s="8" t="s">
        <v>1205</v>
      </c>
      <c r="G259" s="8" t="s">
        <v>1206</v>
      </c>
      <c r="H259" s="8" t="s">
        <v>22</v>
      </c>
      <c r="I259" s="8" t="s">
        <v>120</v>
      </c>
      <c r="J259" s="8" t="s">
        <v>121</v>
      </c>
      <c r="K259" s="6"/>
      <c r="L259" s="7">
        <v>45702</v>
      </c>
      <c r="M259" s="6" t="s">
        <v>32</v>
      </c>
      <c r="N259" s="8" t="s">
        <v>1207</v>
      </c>
      <c r="O259" s="6">
        <f>HYPERLINK("https://docs.wto.org/imrd/directdoc.asp?DDFDocuments/t/G/SPS/NEU802.DOCX", "https://docs.wto.org/imrd/directdoc.asp?DDFDocuments/t/G/SPS/NEU802.DOCX")</f>
      </c>
      <c r="P259" s="6">
        <f>HYPERLINK("https://docs.wto.org/imrd/directdoc.asp?DDFDocuments/u/G/SPS/NEU802.DOCX", "https://docs.wto.org/imrd/directdoc.asp?DDFDocuments/u/G/SPS/NEU802.DOCX")</f>
      </c>
      <c r="Q259" s="6">
        <f>HYPERLINK("https://docs.wto.org/imrd/directdoc.asp?DDFDocuments/v/G/SPS/NEU802.DOCX", "https://docs.wto.org/imrd/directdoc.asp?DDFDocuments/v/G/SPS/NEU802.DOCX")</f>
      </c>
    </row>
    <row r="260">
      <c r="A260" s="6" t="s">
        <v>49</v>
      </c>
      <c r="B260" s="7">
        <v>45639</v>
      </c>
      <c r="C260" s="9">
        <f>HYPERLINK("https://eping.wto.org/en/Search?viewData= G/TBT/N/TZA/1226"," G/TBT/N/TZA/1226")</f>
      </c>
      <c r="D260" s="8" t="s">
        <v>1208</v>
      </c>
      <c r="E260" s="8" t="s">
        <v>1209</v>
      </c>
      <c r="F260" s="8" t="s">
        <v>1055</v>
      </c>
      <c r="G260" s="8" t="s">
        <v>1056</v>
      </c>
      <c r="H260" s="8" t="s">
        <v>1057</v>
      </c>
      <c r="I260" s="8" t="s">
        <v>1058</v>
      </c>
      <c r="J260" s="8" t="s">
        <v>58</v>
      </c>
      <c r="K260" s="6"/>
      <c r="L260" s="7">
        <v>45699</v>
      </c>
      <c r="M260" s="6" t="s">
        <v>32</v>
      </c>
      <c r="N260" s="8" t="s">
        <v>1210</v>
      </c>
      <c r="O260" s="6">
        <f>HYPERLINK("https://docs.wto.org/imrd/directdoc.asp?DDFDocuments/t/G/TBTN24/TZA1226.DOCX", "https://docs.wto.org/imrd/directdoc.asp?DDFDocuments/t/G/TBTN24/TZA1226.DOCX")</f>
      </c>
      <c r="P260" s="6">
        <f>HYPERLINK("https://docs.wto.org/imrd/directdoc.asp?DDFDocuments/u/G/TBTN24/TZA1226.DOCX", "https://docs.wto.org/imrd/directdoc.asp?DDFDocuments/u/G/TBTN24/TZA1226.DOCX")</f>
      </c>
      <c r="Q260" s="6">
        <f>HYPERLINK("https://docs.wto.org/imrd/directdoc.asp?DDFDocuments/v/G/TBTN24/TZA1226.DOCX", "https://docs.wto.org/imrd/directdoc.asp?DDFDocuments/v/G/TBTN24/TZA1226.DOCX")</f>
      </c>
    </row>
    <row r="261">
      <c r="A261" s="6" t="s">
        <v>400</v>
      </c>
      <c r="B261" s="7">
        <v>45639</v>
      </c>
      <c r="C261" s="9">
        <f>HYPERLINK("https://eping.wto.org/en/Search?viewData= G/TBT/N/USA/2032/Add.2"," G/TBT/N/USA/2032/Add.2")</f>
      </c>
      <c r="D261" s="8" t="s">
        <v>1211</v>
      </c>
      <c r="E261" s="8" t="s">
        <v>1212</v>
      </c>
      <c r="F261" s="8" t="s">
        <v>1213</v>
      </c>
      <c r="G261" s="8" t="s">
        <v>22</v>
      </c>
      <c r="H261" s="8" t="s">
        <v>1214</v>
      </c>
      <c r="I261" s="8" t="s">
        <v>619</v>
      </c>
      <c r="J261" s="8" t="s">
        <v>22</v>
      </c>
      <c r="K261" s="6"/>
      <c r="L261" s="7" t="s">
        <v>22</v>
      </c>
      <c r="M261" s="6" t="s">
        <v>40</v>
      </c>
      <c r="N261" s="8" t="s">
        <v>1215</v>
      </c>
      <c r="O261" s="6">
        <f>HYPERLINK("https://docs.wto.org/imrd/directdoc.asp?DDFDocuments/t/G/TBTN23/USA2032A2.DOCX", "https://docs.wto.org/imrd/directdoc.asp?DDFDocuments/t/G/TBTN23/USA2032A2.DOCX")</f>
      </c>
      <c r="P261" s="6">
        <f>HYPERLINK("https://docs.wto.org/imrd/directdoc.asp?DDFDocuments/u/G/TBTN23/USA2032A2.DOCX", "https://docs.wto.org/imrd/directdoc.asp?DDFDocuments/u/G/TBTN23/USA2032A2.DOCX")</f>
      </c>
      <c r="Q261" s="6">
        <f>HYPERLINK("https://docs.wto.org/imrd/directdoc.asp?DDFDocuments/v/G/TBTN23/USA2032A2.DOCX", "https://docs.wto.org/imrd/directdoc.asp?DDFDocuments/v/G/TBTN23/USA2032A2.DOCX")</f>
      </c>
    </row>
    <row r="262">
      <c r="A262" s="6" t="s">
        <v>400</v>
      </c>
      <c r="B262" s="7">
        <v>45639</v>
      </c>
      <c r="C262" s="9">
        <f>HYPERLINK("https://eping.wto.org/en/Search?viewData= G/TBT/N/USA/2124/Add.1"," G/TBT/N/USA/2124/Add.1")</f>
      </c>
      <c r="D262" s="8" t="s">
        <v>1216</v>
      </c>
      <c r="E262" s="8" t="s">
        <v>1217</v>
      </c>
      <c r="F262" s="8" t="s">
        <v>1218</v>
      </c>
      <c r="G262" s="8" t="s">
        <v>22</v>
      </c>
      <c r="H262" s="8" t="s">
        <v>635</v>
      </c>
      <c r="I262" s="8" t="s">
        <v>292</v>
      </c>
      <c r="J262" s="8" t="s">
        <v>22</v>
      </c>
      <c r="K262" s="6"/>
      <c r="L262" s="7" t="s">
        <v>22</v>
      </c>
      <c r="M262" s="6" t="s">
        <v>40</v>
      </c>
      <c r="N262" s="8" t="s">
        <v>1219</v>
      </c>
      <c r="O262" s="6">
        <f>HYPERLINK("https://docs.wto.org/imrd/directdoc.asp?DDFDocuments/t/G/TBTN24/USA2124A1.DOCX", "https://docs.wto.org/imrd/directdoc.asp?DDFDocuments/t/G/TBTN24/USA2124A1.DOCX")</f>
      </c>
      <c r="P262" s="6">
        <f>HYPERLINK("https://docs.wto.org/imrd/directdoc.asp?DDFDocuments/u/G/TBTN24/USA2124A1.DOCX", "https://docs.wto.org/imrd/directdoc.asp?DDFDocuments/u/G/TBTN24/USA2124A1.DOCX")</f>
      </c>
      <c r="Q262" s="6">
        <f>HYPERLINK("https://docs.wto.org/imrd/directdoc.asp?DDFDocuments/v/G/TBTN24/USA2124A1.DOCX", "https://docs.wto.org/imrd/directdoc.asp?DDFDocuments/v/G/TBTN24/USA2124A1.DOCX")</f>
      </c>
    </row>
    <row r="263">
      <c r="A263" s="6" t="s">
        <v>68</v>
      </c>
      <c r="B263" s="7">
        <v>45639</v>
      </c>
      <c r="C263" s="9">
        <f>HYPERLINK("https://eping.wto.org/en/Search?viewData= G/TBT/N/UGA/2060"," G/TBT/N/UGA/2060")</f>
      </c>
      <c r="D263" s="8" t="s">
        <v>1220</v>
      </c>
      <c r="E263" s="8" t="s">
        <v>1221</v>
      </c>
      <c r="F263" s="8" t="s">
        <v>1222</v>
      </c>
      <c r="G263" s="8" t="s">
        <v>1085</v>
      </c>
      <c r="H263" s="8" t="s">
        <v>866</v>
      </c>
      <c r="I263" s="8" t="s">
        <v>1067</v>
      </c>
      <c r="J263" s="8" t="s">
        <v>58</v>
      </c>
      <c r="K263" s="6"/>
      <c r="L263" s="7">
        <v>45699</v>
      </c>
      <c r="M263" s="6" t="s">
        <v>32</v>
      </c>
      <c r="N263" s="8" t="s">
        <v>1223</v>
      </c>
      <c r="O263" s="6">
        <f>HYPERLINK("https://docs.wto.org/imrd/directdoc.asp?DDFDocuments/t/G/TBTN24/UGA2060.DOCX", "https://docs.wto.org/imrd/directdoc.asp?DDFDocuments/t/G/TBTN24/UGA2060.DOCX")</f>
      </c>
      <c r="P263" s="6">
        <f>HYPERLINK("https://docs.wto.org/imrd/directdoc.asp?DDFDocuments/u/G/TBTN24/UGA2060.DOCX", "https://docs.wto.org/imrd/directdoc.asp?DDFDocuments/u/G/TBTN24/UGA2060.DOCX")</f>
      </c>
      <c r="Q263" s="6">
        <f>HYPERLINK("https://docs.wto.org/imrd/directdoc.asp?DDFDocuments/v/G/TBTN24/UGA2060.DOCX", "https://docs.wto.org/imrd/directdoc.asp?DDFDocuments/v/G/TBTN24/UGA2060.DOCX")</f>
      </c>
    </row>
    <row r="264">
      <c r="A264" s="6" t="s">
        <v>49</v>
      </c>
      <c r="B264" s="7">
        <v>45639</v>
      </c>
      <c r="C264" s="9">
        <f>HYPERLINK("https://eping.wto.org/en/Search?viewData= G/TBT/N/TZA/1229"," G/TBT/N/TZA/1229")</f>
      </c>
      <c r="D264" s="8" t="s">
        <v>1224</v>
      </c>
      <c r="E264" s="8" t="s">
        <v>1225</v>
      </c>
      <c r="F264" s="8" t="s">
        <v>1055</v>
      </c>
      <c r="G264" s="8" t="s">
        <v>1056</v>
      </c>
      <c r="H264" s="8" t="s">
        <v>1057</v>
      </c>
      <c r="I264" s="8" t="s">
        <v>1058</v>
      </c>
      <c r="J264" s="8" t="s">
        <v>58</v>
      </c>
      <c r="K264" s="6"/>
      <c r="L264" s="7">
        <v>45699</v>
      </c>
      <c r="M264" s="6" t="s">
        <v>32</v>
      </c>
      <c r="N264" s="8" t="s">
        <v>1226</v>
      </c>
      <c r="O264" s="6">
        <f>HYPERLINK("https://docs.wto.org/imrd/directdoc.asp?DDFDocuments/t/G/TBTN24/TZA1229.DOCX", "https://docs.wto.org/imrd/directdoc.asp?DDFDocuments/t/G/TBTN24/TZA1229.DOCX")</f>
      </c>
      <c r="P264" s="6">
        <f>HYPERLINK("https://docs.wto.org/imrd/directdoc.asp?DDFDocuments/u/G/TBTN24/TZA1229.DOCX", "https://docs.wto.org/imrd/directdoc.asp?DDFDocuments/u/G/TBTN24/TZA1229.DOCX")</f>
      </c>
      <c r="Q264" s="6">
        <f>HYPERLINK("https://docs.wto.org/imrd/directdoc.asp?DDFDocuments/v/G/TBTN24/TZA1229.DOCX", "https://docs.wto.org/imrd/directdoc.asp?DDFDocuments/v/G/TBTN24/TZA1229.DOCX")</f>
      </c>
    </row>
    <row r="265">
      <c r="A265" s="6" t="s">
        <v>49</v>
      </c>
      <c r="B265" s="7">
        <v>45639</v>
      </c>
      <c r="C265" s="9">
        <f>HYPERLINK("https://eping.wto.org/en/Search?viewData= G/TBT/N/TZA/1230"," G/TBT/N/TZA/1230")</f>
      </c>
      <c r="D265" s="8" t="s">
        <v>1227</v>
      </c>
      <c r="E265" s="8" t="s">
        <v>1228</v>
      </c>
      <c r="F265" s="8" t="s">
        <v>1055</v>
      </c>
      <c r="G265" s="8" t="s">
        <v>1056</v>
      </c>
      <c r="H265" s="8" t="s">
        <v>1057</v>
      </c>
      <c r="I265" s="8" t="s">
        <v>1058</v>
      </c>
      <c r="J265" s="8" t="s">
        <v>58</v>
      </c>
      <c r="K265" s="6"/>
      <c r="L265" s="7">
        <v>45699</v>
      </c>
      <c r="M265" s="6" t="s">
        <v>32</v>
      </c>
      <c r="N265" s="8" t="s">
        <v>1229</v>
      </c>
      <c r="O265" s="6">
        <f>HYPERLINK("https://docs.wto.org/imrd/directdoc.asp?DDFDocuments/t/G/TBTN24/TZA1230.DOCX", "https://docs.wto.org/imrd/directdoc.asp?DDFDocuments/t/G/TBTN24/TZA1230.DOCX")</f>
      </c>
      <c r="P265" s="6">
        <f>HYPERLINK("https://docs.wto.org/imrd/directdoc.asp?DDFDocuments/u/G/TBTN24/TZA1230.DOCX", "https://docs.wto.org/imrd/directdoc.asp?DDFDocuments/u/G/TBTN24/TZA1230.DOCX")</f>
      </c>
      <c r="Q265" s="6">
        <f>HYPERLINK("https://docs.wto.org/imrd/directdoc.asp?DDFDocuments/v/G/TBTN24/TZA1230.DOCX", "https://docs.wto.org/imrd/directdoc.asp?DDFDocuments/v/G/TBTN24/TZA1230.DOCX")</f>
      </c>
    </row>
    <row r="266">
      <c r="A266" s="6" t="s">
        <v>68</v>
      </c>
      <c r="B266" s="7">
        <v>45639</v>
      </c>
      <c r="C266" s="9">
        <f>HYPERLINK("https://eping.wto.org/en/Search?viewData= G/TBT/N/UGA/2061"," G/TBT/N/UGA/2061")</f>
      </c>
      <c r="D266" s="8" t="s">
        <v>1230</v>
      </c>
      <c r="E266" s="8" t="s">
        <v>1231</v>
      </c>
      <c r="F266" s="8" t="s">
        <v>1084</v>
      </c>
      <c r="G266" s="8" t="s">
        <v>1085</v>
      </c>
      <c r="H266" s="8" t="s">
        <v>866</v>
      </c>
      <c r="I266" s="8" t="s">
        <v>1067</v>
      </c>
      <c r="J266" s="8" t="s">
        <v>58</v>
      </c>
      <c r="K266" s="6"/>
      <c r="L266" s="7">
        <v>45699</v>
      </c>
      <c r="M266" s="6" t="s">
        <v>32</v>
      </c>
      <c r="N266" s="8" t="s">
        <v>1232</v>
      </c>
      <c r="O266" s="6">
        <f>HYPERLINK("https://docs.wto.org/imrd/directdoc.asp?DDFDocuments/t/G/TBTN24/UGA2061.DOCX", "https://docs.wto.org/imrd/directdoc.asp?DDFDocuments/t/G/TBTN24/UGA2061.DOCX")</f>
      </c>
      <c r="P266" s="6">
        <f>HYPERLINK("https://docs.wto.org/imrd/directdoc.asp?DDFDocuments/u/G/TBTN24/UGA2061.DOCX", "https://docs.wto.org/imrd/directdoc.asp?DDFDocuments/u/G/TBTN24/UGA2061.DOCX")</f>
      </c>
      <c r="Q266" s="6">
        <f>HYPERLINK("https://docs.wto.org/imrd/directdoc.asp?DDFDocuments/v/G/TBTN24/UGA2061.DOCX", "https://docs.wto.org/imrd/directdoc.asp?DDFDocuments/v/G/TBTN24/UGA2061.DOCX")</f>
      </c>
    </row>
    <row r="267">
      <c r="A267" s="6" t="s">
        <v>68</v>
      </c>
      <c r="B267" s="7">
        <v>45639</v>
      </c>
      <c r="C267" s="9">
        <f>HYPERLINK("https://eping.wto.org/en/Search?viewData= G/TBT/N/UGA/2058"," G/TBT/N/UGA/2058")</f>
      </c>
      <c r="D267" s="8" t="s">
        <v>991</v>
      </c>
      <c r="E267" s="8" t="s">
        <v>1233</v>
      </c>
      <c r="F267" s="8" t="s">
        <v>993</v>
      </c>
      <c r="G267" s="8" t="s">
        <v>994</v>
      </c>
      <c r="H267" s="8" t="s">
        <v>866</v>
      </c>
      <c r="I267" s="8" t="s">
        <v>1067</v>
      </c>
      <c r="J267" s="8" t="s">
        <v>58</v>
      </c>
      <c r="K267" s="6"/>
      <c r="L267" s="7">
        <v>45699</v>
      </c>
      <c r="M267" s="6" t="s">
        <v>32</v>
      </c>
      <c r="N267" s="8" t="s">
        <v>1234</v>
      </c>
      <c r="O267" s="6">
        <f>HYPERLINK("https://docs.wto.org/imrd/directdoc.asp?DDFDocuments/t/G/TBTN24/UGA2058.DOCX", "https://docs.wto.org/imrd/directdoc.asp?DDFDocuments/t/G/TBTN24/UGA2058.DOCX")</f>
      </c>
      <c r="P267" s="6">
        <f>HYPERLINK("https://docs.wto.org/imrd/directdoc.asp?DDFDocuments/u/G/TBTN24/UGA2058.DOCX", "https://docs.wto.org/imrd/directdoc.asp?DDFDocuments/u/G/TBTN24/UGA2058.DOCX")</f>
      </c>
      <c r="Q267" s="6">
        <f>HYPERLINK("https://docs.wto.org/imrd/directdoc.asp?DDFDocuments/v/G/TBTN24/UGA2058.DOCX", "https://docs.wto.org/imrd/directdoc.asp?DDFDocuments/v/G/TBTN24/UGA2058.DOCX")</f>
      </c>
    </row>
    <row r="268">
      <c r="A268" s="6" t="s">
        <v>400</v>
      </c>
      <c r="B268" s="7">
        <v>45639</v>
      </c>
      <c r="C268" s="9">
        <f>HYPERLINK("https://eping.wto.org/en/Search?viewData= G/TBT/N/USA/1013/Add.8"," G/TBT/N/USA/1013/Add.8")</f>
      </c>
      <c r="D268" s="8" t="s">
        <v>1235</v>
      </c>
      <c r="E268" s="8" t="s">
        <v>1236</v>
      </c>
      <c r="F268" s="8" t="s">
        <v>1237</v>
      </c>
      <c r="G268" s="8" t="s">
        <v>22</v>
      </c>
      <c r="H268" s="8" t="s">
        <v>1238</v>
      </c>
      <c r="I268" s="8" t="s">
        <v>619</v>
      </c>
      <c r="J268" s="8" t="s">
        <v>22</v>
      </c>
      <c r="K268" s="6"/>
      <c r="L268" s="7" t="s">
        <v>22</v>
      </c>
      <c r="M268" s="6" t="s">
        <v>40</v>
      </c>
      <c r="N268" s="8" t="s">
        <v>1239</v>
      </c>
      <c r="O268" s="6">
        <f>HYPERLINK("https://docs.wto.org/imrd/directdoc.asp?DDFDocuments/t/G/TBTN15/USA1013A8.DOCX", "https://docs.wto.org/imrd/directdoc.asp?DDFDocuments/t/G/TBTN15/USA1013A8.DOCX")</f>
      </c>
      <c r="P268" s="6">
        <f>HYPERLINK("https://docs.wto.org/imrd/directdoc.asp?DDFDocuments/u/G/TBTN15/USA1013A8.DOCX", "https://docs.wto.org/imrd/directdoc.asp?DDFDocuments/u/G/TBTN15/USA1013A8.DOCX")</f>
      </c>
      <c r="Q268" s="6">
        <f>HYPERLINK("https://docs.wto.org/imrd/directdoc.asp?DDFDocuments/v/G/TBTN15/USA1013A8.DOCX", "https://docs.wto.org/imrd/directdoc.asp?DDFDocuments/v/G/TBTN15/USA1013A8.DOCX")</f>
      </c>
    </row>
    <row r="269">
      <c r="A269" s="6" t="s">
        <v>400</v>
      </c>
      <c r="B269" s="7">
        <v>45639</v>
      </c>
      <c r="C269" s="9">
        <f>HYPERLINK("https://eping.wto.org/en/Search?viewData= G/TBT/N/USA/1267/Add.1"," G/TBT/N/USA/1267/Add.1")</f>
      </c>
      <c r="D269" s="8" t="s">
        <v>1240</v>
      </c>
      <c r="E269" s="8" t="s">
        <v>1241</v>
      </c>
      <c r="F269" s="8" t="s">
        <v>1242</v>
      </c>
      <c r="G269" s="8" t="s">
        <v>22</v>
      </c>
      <c r="H269" s="8" t="s">
        <v>1243</v>
      </c>
      <c r="I269" s="8" t="s">
        <v>619</v>
      </c>
      <c r="J269" s="8" t="s">
        <v>22</v>
      </c>
      <c r="K269" s="6"/>
      <c r="L269" s="7" t="s">
        <v>22</v>
      </c>
      <c r="M269" s="6" t="s">
        <v>40</v>
      </c>
      <c r="N269" s="8" t="s">
        <v>1244</v>
      </c>
      <c r="O269" s="6">
        <f>HYPERLINK("https://docs.wto.org/imrd/directdoc.asp?DDFDocuments/t/G/TBTN17/USA1267A1.DOCX", "https://docs.wto.org/imrd/directdoc.asp?DDFDocuments/t/G/TBTN17/USA1267A1.DOCX")</f>
      </c>
      <c r="P269" s="6">
        <f>HYPERLINK("https://docs.wto.org/imrd/directdoc.asp?DDFDocuments/u/G/TBTN17/USA1267A1.DOCX", "https://docs.wto.org/imrd/directdoc.asp?DDFDocuments/u/G/TBTN17/USA1267A1.DOCX")</f>
      </c>
      <c r="Q269" s="6">
        <f>HYPERLINK("https://docs.wto.org/imrd/directdoc.asp?DDFDocuments/v/G/TBTN17/USA1267A1.DOCX", "https://docs.wto.org/imrd/directdoc.asp?DDFDocuments/v/G/TBTN17/USA1267A1.DOCX")</f>
      </c>
    </row>
    <row r="270">
      <c r="A270" s="6" t="s">
        <v>400</v>
      </c>
      <c r="B270" s="7">
        <v>45639</v>
      </c>
      <c r="C270" s="9">
        <f>HYPERLINK("https://eping.wto.org/en/Search?viewData= G/TBT/N/USA/2166"," G/TBT/N/USA/2166")</f>
      </c>
      <c r="D270" s="8" t="s">
        <v>1245</v>
      </c>
      <c r="E270" s="8" t="s">
        <v>1246</v>
      </c>
      <c r="F270" s="8" t="s">
        <v>1247</v>
      </c>
      <c r="G270" s="8" t="s">
        <v>22</v>
      </c>
      <c r="H270" s="8" t="s">
        <v>576</v>
      </c>
      <c r="I270" s="8" t="s">
        <v>411</v>
      </c>
      <c r="J270" s="8" t="s">
        <v>22</v>
      </c>
      <c r="K270" s="6"/>
      <c r="L270" s="7">
        <v>45678</v>
      </c>
      <c r="M270" s="6" t="s">
        <v>32</v>
      </c>
      <c r="N270" s="8" t="s">
        <v>1248</v>
      </c>
      <c r="O270" s="6">
        <f>HYPERLINK("https://docs.wto.org/imrd/directdoc.asp?DDFDocuments/t/G/TBTN24/USA2166.DOCX", "https://docs.wto.org/imrd/directdoc.asp?DDFDocuments/t/G/TBTN24/USA2166.DOCX")</f>
      </c>
      <c r="P270" s="6">
        <f>HYPERLINK("https://docs.wto.org/imrd/directdoc.asp?DDFDocuments/u/G/TBTN24/USA2166.DOCX", "https://docs.wto.org/imrd/directdoc.asp?DDFDocuments/u/G/TBTN24/USA2166.DOCX")</f>
      </c>
      <c r="Q270" s="6">
        <f>HYPERLINK("https://docs.wto.org/imrd/directdoc.asp?DDFDocuments/v/G/TBTN24/USA2166.DOCX", "https://docs.wto.org/imrd/directdoc.asp?DDFDocuments/v/G/TBTN24/USA2166.DOCX")</f>
      </c>
    </row>
    <row r="271">
      <c r="A271" s="6" t="s">
        <v>34</v>
      </c>
      <c r="B271" s="7">
        <v>45639</v>
      </c>
      <c r="C271" s="9">
        <f>HYPERLINK("https://eping.wto.org/en/Search?viewData= G/SPS/N/TPKM/639"," G/SPS/N/TPKM/639")</f>
      </c>
      <c r="D271" s="8" t="s">
        <v>1249</v>
      </c>
      <c r="E271" s="8" t="s">
        <v>1250</v>
      </c>
      <c r="F271" s="8" t="s">
        <v>1251</v>
      </c>
      <c r="G271" s="8" t="s">
        <v>22</v>
      </c>
      <c r="H271" s="8" t="s">
        <v>22</v>
      </c>
      <c r="I271" s="8" t="s">
        <v>120</v>
      </c>
      <c r="J271" s="8" t="s">
        <v>121</v>
      </c>
      <c r="K271" s="6" t="s">
        <v>22</v>
      </c>
      <c r="L271" s="7">
        <v>45699</v>
      </c>
      <c r="M271" s="6" t="s">
        <v>32</v>
      </c>
      <c r="N271" s="8" t="s">
        <v>1252</v>
      </c>
      <c r="O271" s="6">
        <f>HYPERLINK("https://docs.wto.org/imrd/directdoc.asp?DDFDocuments/t/G/SPS/NTPKM639.DOCX", "https://docs.wto.org/imrd/directdoc.asp?DDFDocuments/t/G/SPS/NTPKM639.DOCX")</f>
      </c>
      <c r="P271" s="6">
        <f>HYPERLINK("https://docs.wto.org/imrd/directdoc.asp?DDFDocuments/u/G/SPS/NTPKM639.DOCX", "https://docs.wto.org/imrd/directdoc.asp?DDFDocuments/u/G/SPS/NTPKM639.DOCX")</f>
      </c>
      <c r="Q271" s="6">
        <f>HYPERLINK("https://docs.wto.org/imrd/directdoc.asp?DDFDocuments/v/G/SPS/NTPKM639.DOCX", "https://docs.wto.org/imrd/directdoc.asp?DDFDocuments/v/G/SPS/NTPKM639.DOCX")</f>
      </c>
    </row>
    <row r="272">
      <c r="A272" s="6" t="s">
        <v>400</v>
      </c>
      <c r="B272" s="7">
        <v>45639</v>
      </c>
      <c r="C272" s="9">
        <f>HYPERLINK("https://eping.wto.org/en/Search?viewData= G/TBT/N/USA/2007/Add.2/Corr.1"," G/TBT/N/USA/2007/Add.2/Corr.1")</f>
      </c>
      <c r="D272" s="8" t="s">
        <v>1253</v>
      </c>
      <c r="E272" s="8" t="s">
        <v>1254</v>
      </c>
      <c r="F272" s="8" t="s">
        <v>1255</v>
      </c>
      <c r="G272" s="8" t="s">
        <v>22</v>
      </c>
      <c r="H272" s="8" t="s">
        <v>1256</v>
      </c>
      <c r="I272" s="8" t="s">
        <v>641</v>
      </c>
      <c r="J272" s="8" t="s">
        <v>22</v>
      </c>
      <c r="K272" s="6"/>
      <c r="L272" s="7" t="s">
        <v>22</v>
      </c>
      <c r="M272" s="6" t="s">
        <v>248</v>
      </c>
      <c r="N272" s="8" t="s">
        <v>1257</v>
      </c>
      <c r="O272" s="6">
        <f>HYPERLINK("https://docs.wto.org/imrd/directdoc.asp?DDFDocuments/t/G/TBTN23/USA2007A2C1.DOCX", "https://docs.wto.org/imrd/directdoc.asp?DDFDocuments/t/G/TBTN23/USA2007A2C1.DOCX")</f>
      </c>
      <c r="P272" s="6">
        <f>HYPERLINK("https://docs.wto.org/imrd/directdoc.asp?DDFDocuments/u/G/TBTN23/USA2007A2C1.DOCX", "https://docs.wto.org/imrd/directdoc.asp?DDFDocuments/u/G/TBTN23/USA2007A2C1.DOCX")</f>
      </c>
      <c r="Q272" s="6">
        <f>HYPERLINK("https://docs.wto.org/imrd/directdoc.asp?DDFDocuments/v/G/TBTN23/USA2007A2C1.DOCX", "https://docs.wto.org/imrd/directdoc.asp?DDFDocuments/v/G/TBTN23/USA2007A2C1.DOCX")</f>
      </c>
    </row>
    <row r="273">
      <c r="A273" s="6" t="s">
        <v>333</v>
      </c>
      <c r="B273" s="7">
        <v>45639</v>
      </c>
      <c r="C273" s="9">
        <f>HYPERLINK("https://eping.wto.org/en/Search?viewData= G/SPS/N/AUS/610"," G/SPS/N/AUS/610")</f>
      </c>
      <c r="D273" s="8" t="s">
        <v>1258</v>
      </c>
      <c r="E273" s="8" t="s">
        <v>1259</v>
      </c>
      <c r="F273" s="8" t="s">
        <v>1260</v>
      </c>
      <c r="G273" s="8" t="s">
        <v>1261</v>
      </c>
      <c r="H273" s="8" t="s">
        <v>22</v>
      </c>
      <c r="I273" s="8" t="s">
        <v>128</v>
      </c>
      <c r="J273" s="8" t="s">
        <v>1262</v>
      </c>
      <c r="K273" s="6" t="s">
        <v>1263</v>
      </c>
      <c r="L273" s="7" t="s">
        <v>22</v>
      </c>
      <c r="M273" s="6" t="s">
        <v>32</v>
      </c>
      <c r="N273" s="8" t="s">
        <v>1264</v>
      </c>
      <c r="O273" s="6">
        <f>HYPERLINK("https://docs.wto.org/imrd/directdoc.asp?DDFDocuments/t/G/SPS/NAUS610.DOCX", "https://docs.wto.org/imrd/directdoc.asp?DDFDocuments/t/G/SPS/NAUS610.DOCX")</f>
      </c>
      <c r="P273" s="6">
        <f>HYPERLINK("https://docs.wto.org/imrd/directdoc.asp?DDFDocuments/u/G/SPS/NAUS610.DOCX", "https://docs.wto.org/imrd/directdoc.asp?DDFDocuments/u/G/SPS/NAUS610.DOCX")</f>
      </c>
      <c r="Q273" s="6">
        <f>HYPERLINK("https://docs.wto.org/imrd/directdoc.asp?DDFDocuments/v/G/SPS/NAUS610.DOCX", "https://docs.wto.org/imrd/directdoc.asp?DDFDocuments/v/G/SPS/NAUS610.DOCX")</f>
      </c>
    </row>
    <row r="274">
      <c r="A274" s="6" t="s">
        <v>68</v>
      </c>
      <c r="B274" s="7">
        <v>45639</v>
      </c>
      <c r="C274" s="9">
        <f>HYPERLINK("https://eping.wto.org/en/Search?viewData= G/TBT/N/UGA/2059"," G/TBT/N/UGA/2059")</f>
      </c>
      <c r="D274" s="8" t="s">
        <v>1265</v>
      </c>
      <c r="E274" s="8" t="s">
        <v>1266</v>
      </c>
      <c r="F274" s="8" t="s">
        <v>1267</v>
      </c>
      <c r="G274" s="8" t="s">
        <v>1063</v>
      </c>
      <c r="H274" s="8" t="s">
        <v>866</v>
      </c>
      <c r="I274" s="8" t="s">
        <v>1067</v>
      </c>
      <c r="J274" s="8" t="s">
        <v>58</v>
      </c>
      <c r="K274" s="6"/>
      <c r="L274" s="7">
        <v>45699</v>
      </c>
      <c r="M274" s="6" t="s">
        <v>32</v>
      </c>
      <c r="N274" s="8" t="s">
        <v>1268</v>
      </c>
      <c r="O274" s="6">
        <f>HYPERLINK("https://docs.wto.org/imrd/directdoc.asp?DDFDocuments/t/G/TBTN24/UGA2059.DOCX", "https://docs.wto.org/imrd/directdoc.asp?DDFDocuments/t/G/TBTN24/UGA2059.DOCX")</f>
      </c>
      <c r="P274" s="6">
        <f>HYPERLINK("https://docs.wto.org/imrd/directdoc.asp?DDFDocuments/u/G/TBTN24/UGA2059.DOCX", "https://docs.wto.org/imrd/directdoc.asp?DDFDocuments/u/G/TBTN24/UGA2059.DOCX")</f>
      </c>
      <c r="Q274" s="6">
        <f>HYPERLINK("https://docs.wto.org/imrd/directdoc.asp?DDFDocuments/v/G/TBTN24/UGA2059.DOCX", "https://docs.wto.org/imrd/directdoc.asp?DDFDocuments/v/G/TBTN24/UGA2059.DOCX")</f>
      </c>
    </row>
    <row r="275">
      <c r="A275" s="6" t="s">
        <v>49</v>
      </c>
      <c r="B275" s="7">
        <v>45639</v>
      </c>
      <c r="C275" s="9">
        <f>HYPERLINK("https://eping.wto.org/en/Search?viewData= G/TBT/N/TZA/1231"," G/TBT/N/TZA/1231")</f>
      </c>
      <c r="D275" s="8" t="s">
        <v>1269</v>
      </c>
      <c r="E275" s="8" t="s">
        <v>1270</v>
      </c>
      <c r="F275" s="8" t="s">
        <v>1090</v>
      </c>
      <c r="G275" s="8" t="s">
        <v>1091</v>
      </c>
      <c r="H275" s="8" t="s">
        <v>1092</v>
      </c>
      <c r="I275" s="8" t="s">
        <v>1058</v>
      </c>
      <c r="J275" s="8" t="s">
        <v>58</v>
      </c>
      <c r="K275" s="6"/>
      <c r="L275" s="7">
        <v>45699</v>
      </c>
      <c r="M275" s="6" t="s">
        <v>32</v>
      </c>
      <c r="N275" s="8" t="s">
        <v>1271</v>
      </c>
      <c r="O275" s="6">
        <f>HYPERLINK("https://docs.wto.org/imrd/directdoc.asp?DDFDocuments/t/G/TBTN24/TZA1231.DOCX", "https://docs.wto.org/imrd/directdoc.asp?DDFDocuments/t/G/TBTN24/TZA1231.DOCX")</f>
      </c>
      <c r="P275" s="6">
        <f>HYPERLINK("https://docs.wto.org/imrd/directdoc.asp?DDFDocuments/u/G/TBTN24/TZA1231.DOCX", "https://docs.wto.org/imrd/directdoc.asp?DDFDocuments/u/G/TBTN24/TZA1231.DOCX")</f>
      </c>
      <c r="Q275" s="6">
        <f>HYPERLINK("https://docs.wto.org/imrd/directdoc.asp?DDFDocuments/v/G/TBTN24/TZA1231.DOCX", "https://docs.wto.org/imrd/directdoc.asp?DDFDocuments/v/G/TBTN24/TZA1231.DOCX")</f>
      </c>
    </row>
    <row r="276">
      <c r="A276" s="6" t="s">
        <v>400</v>
      </c>
      <c r="B276" s="7">
        <v>45639</v>
      </c>
      <c r="C276" s="9">
        <f>HYPERLINK("https://eping.wto.org/en/Search?viewData= G/TBT/N/USA/1954/Rev.1/Add.3"," G/TBT/N/USA/1954/Rev.1/Add.3")</f>
      </c>
      <c r="D276" s="8" t="s">
        <v>1272</v>
      </c>
      <c r="E276" s="8" t="s">
        <v>1273</v>
      </c>
      <c r="F276" s="8" t="s">
        <v>1274</v>
      </c>
      <c r="G276" s="8" t="s">
        <v>22</v>
      </c>
      <c r="H276" s="8" t="s">
        <v>1275</v>
      </c>
      <c r="I276" s="8" t="s">
        <v>1276</v>
      </c>
      <c r="J276" s="8" t="s">
        <v>22</v>
      </c>
      <c r="K276" s="6"/>
      <c r="L276" s="7" t="s">
        <v>22</v>
      </c>
      <c r="M276" s="6" t="s">
        <v>40</v>
      </c>
      <c r="N276" s="8" t="s">
        <v>1277</v>
      </c>
      <c r="O276" s="6">
        <f>HYPERLINK("https://docs.wto.org/imrd/directdoc.asp?DDFDocuments/t/G/TBTN22/USA1954R1A3.DOCX", "https://docs.wto.org/imrd/directdoc.asp?DDFDocuments/t/G/TBTN22/USA1954R1A3.DOCX")</f>
      </c>
      <c r="P276" s="6">
        <f>HYPERLINK("https://docs.wto.org/imrd/directdoc.asp?DDFDocuments/u/G/TBTN22/USA1954R1A3.DOCX", "https://docs.wto.org/imrd/directdoc.asp?DDFDocuments/u/G/TBTN22/USA1954R1A3.DOCX")</f>
      </c>
      <c r="Q276" s="6">
        <f>HYPERLINK("https://docs.wto.org/imrd/directdoc.asp?DDFDocuments/v/G/TBTN22/USA1954R1A3.DOCX", "https://docs.wto.org/imrd/directdoc.asp?DDFDocuments/v/G/TBTN22/USA1954R1A3.DOCX")</f>
      </c>
    </row>
    <row r="277">
      <c r="A277" s="6" t="s">
        <v>400</v>
      </c>
      <c r="B277" s="7">
        <v>45639</v>
      </c>
      <c r="C277" s="9">
        <f>HYPERLINK("https://eping.wto.org/en/Search?viewData= G/TBT/N/USA/2018/Add.1"," G/TBT/N/USA/2018/Add.1")</f>
      </c>
      <c r="D277" s="8" t="s">
        <v>1278</v>
      </c>
      <c r="E277" s="8" t="s">
        <v>1279</v>
      </c>
      <c r="F277" s="8" t="s">
        <v>1280</v>
      </c>
      <c r="G277" s="8" t="s">
        <v>22</v>
      </c>
      <c r="H277" s="8" t="s">
        <v>1281</v>
      </c>
      <c r="I277" s="8" t="s">
        <v>39</v>
      </c>
      <c r="J277" s="8" t="s">
        <v>22</v>
      </c>
      <c r="K277" s="6"/>
      <c r="L277" s="7" t="s">
        <v>22</v>
      </c>
      <c r="M277" s="6" t="s">
        <v>40</v>
      </c>
      <c r="N277" s="8" t="s">
        <v>1282</v>
      </c>
      <c r="O277" s="6">
        <f>HYPERLINK("https://docs.wto.org/imrd/directdoc.asp?DDFDocuments/t/G/TBTN23/USA2018A1.DOCX", "https://docs.wto.org/imrd/directdoc.asp?DDFDocuments/t/G/TBTN23/USA2018A1.DOCX")</f>
      </c>
      <c r="P277" s="6">
        <f>HYPERLINK("https://docs.wto.org/imrd/directdoc.asp?DDFDocuments/u/G/TBTN23/USA2018A1.DOCX", "https://docs.wto.org/imrd/directdoc.asp?DDFDocuments/u/G/TBTN23/USA2018A1.DOCX")</f>
      </c>
      <c r="Q277" s="6">
        <f>HYPERLINK("https://docs.wto.org/imrd/directdoc.asp?DDFDocuments/v/G/TBTN23/USA2018A1.DOCX", "https://docs.wto.org/imrd/directdoc.asp?DDFDocuments/v/G/TBTN23/USA2018A1.DOCX")</f>
      </c>
    </row>
    <row r="278">
      <c r="A278" s="6" t="s">
        <v>333</v>
      </c>
      <c r="B278" s="7">
        <v>45639</v>
      </c>
      <c r="C278" s="9">
        <f>HYPERLINK("https://eping.wto.org/en/Search?viewData= G/SPS/N/AUS/611"," G/SPS/N/AUS/611")</f>
      </c>
      <c r="D278" s="8" t="s">
        <v>1283</v>
      </c>
      <c r="E278" s="8" t="s">
        <v>1284</v>
      </c>
      <c r="F278" s="8" t="s">
        <v>1285</v>
      </c>
      <c r="G278" s="8" t="s">
        <v>22</v>
      </c>
      <c r="H278" s="8" t="s">
        <v>22</v>
      </c>
      <c r="I278" s="8" t="s">
        <v>120</v>
      </c>
      <c r="J278" s="8" t="s">
        <v>121</v>
      </c>
      <c r="K278" s="6" t="s">
        <v>22</v>
      </c>
      <c r="L278" s="7">
        <v>45705</v>
      </c>
      <c r="M278" s="6" t="s">
        <v>32</v>
      </c>
      <c r="N278" s="8" t="s">
        <v>1286</v>
      </c>
      <c r="O278" s="6">
        <f>HYPERLINK("https://docs.wto.org/imrd/directdoc.asp?DDFDocuments/t/G/SPS/NAUS611.DOCX", "https://docs.wto.org/imrd/directdoc.asp?DDFDocuments/t/G/SPS/NAUS611.DOCX")</f>
      </c>
      <c r="P278" s="6">
        <f>HYPERLINK("https://docs.wto.org/imrd/directdoc.asp?DDFDocuments/u/G/SPS/NAUS611.DOCX", "https://docs.wto.org/imrd/directdoc.asp?DDFDocuments/u/G/SPS/NAUS611.DOCX")</f>
      </c>
      <c r="Q278" s="6">
        <f>HYPERLINK("https://docs.wto.org/imrd/directdoc.asp?DDFDocuments/v/G/SPS/NAUS611.DOCX", "https://docs.wto.org/imrd/directdoc.asp?DDFDocuments/v/G/SPS/NAUS611.DOCX")</f>
      </c>
    </row>
    <row r="279">
      <c r="A279" s="6" t="s">
        <v>333</v>
      </c>
      <c r="B279" s="7">
        <v>45639</v>
      </c>
      <c r="C279" s="9">
        <f>HYPERLINK("https://eping.wto.org/en/Search?viewData= G/TBT/N/AUS/170/Add.1"," G/TBT/N/AUS/170/Add.1")</f>
      </c>
      <c r="D279" s="8" t="s">
        <v>1287</v>
      </c>
      <c r="E279" s="8" t="s">
        <v>1288</v>
      </c>
      <c r="F279" s="8" t="s">
        <v>1289</v>
      </c>
      <c r="G279" s="8" t="s">
        <v>1290</v>
      </c>
      <c r="H279" s="8" t="s">
        <v>1291</v>
      </c>
      <c r="I279" s="8" t="s">
        <v>39</v>
      </c>
      <c r="J279" s="8" t="s">
        <v>22</v>
      </c>
      <c r="K279" s="6"/>
      <c r="L279" s="7" t="s">
        <v>22</v>
      </c>
      <c r="M279" s="6" t="s">
        <v>40</v>
      </c>
      <c r="N279" s="8" t="s">
        <v>1292</v>
      </c>
      <c r="O279" s="6">
        <f>HYPERLINK("https://docs.wto.org/imrd/directdoc.asp?DDFDocuments/t/G/TBTN24/AUS170A1.DOCX", "https://docs.wto.org/imrd/directdoc.asp?DDFDocuments/t/G/TBTN24/AUS170A1.DOCX")</f>
      </c>
      <c r="P279" s="6">
        <f>HYPERLINK("https://docs.wto.org/imrd/directdoc.asp?DDFDocuments/u/G/TBTN24/AUS170A1.DOCX", "https://docs.wto.org/imrd/directdoc.asp?DDFDocuments/u/G/TBTN24/AUS170A1.DOCX")</f>
      </c>
      <c r="Q279" s="6">
        <f>HYPERLINK("https://docs.wto.org/imrd/directdoc.asp?DDFDocuments/v/G/TBTN24/AUS170A1.DOCX", "https://docs.wto.org/imrd/directdoc.asp?DDFDocuments/v/G/TBTN24/AUS170A1.DOCX")</f>
      </c>
    </row>
    <row r="280">
      <c r="A280" s="6" t="s">
        <v>49</v>
      </c>
      <c r="B280" s="7">
        <v>45639</v>
      </c>
      <c r="C280" s="9">
        <f>HYPERLINK("https://eping.wto.org/en/Search?viewData= G/TBT/N/TZA/1225"," G/TBT/N/TZA/1225")</f>
      </c>
      <c r="D280" s="8" t="s">
        <v>1293</v>
      </c>
      <c r="E280" s="8" t="s">
        <v>1294</v>
      </c>
      <c r="F280" s="8" t="s">
        <v>1295</v>
      </c>
      <c r="G280" s="8" t="s">
        <v>1296</v>
      </c>
      <c r="H280" s="8" t="s">
        <v>1057</v>
      </c>
      <c r="I280" s="8" t="s">
        <v>1058</v>
      </c>
      <c r="J280" s="8" t="s">
        <v>58</v>
      </c>
      <c r="K280" s="6"/>
      <c r="L280" s="7">
        <v>45699</v>
      </c>
      <c r="M280" s="6" t="s">
        <v>32</v>
      </c>
      <c r="N280" s="8" t="s">
        <v>1297</v>
      </c>
      <c r="O280" s="6">
        <f>HYPERLINK("https://docs.wto.org/imrd/directdoc.asp?DDFDocuments/t/G/TBTN24/TZA1225.DOCX", "https://docs.wto.org/imrd/directdoc.asp?DDFDocuments/t/G/TBTN24/TZA1225.DOCX")</f>
      </c>
      <c r="P280" s="6">
        <f>HYPERLINK("https://docs.wto.org/imrd/directdoc.asp?DDFDocuments/u/G/TBTN24/TZA1225.DOCX", "https://docs.wto.org/imrd/directdoc.asp?DDFDocuments/u/G/TBTN24/TZA1225.DOCX")</f>
      </c>
      <c r="Q280" s="6">
        <f>HYPERLINK("https://docs.wto.org/imrd/directdoc.asp?DDFDocuments/v/G/TBTN24/TZA1225.DOCX", "https://docs.wto.org/imrd/directdoc.asp?DDFDocuments/v/G/TBTN24/TZA1225.DOCX")</f>
      </c>
    </row>
    <row r="281">
      <c r="A281" s="6" t="s">
        <v>874</v>
      </c>
      <c r="B281" s="7">
        <v>45639</v>
      </c>
      <c r="C281" s="9">
        <f>HYPERLINK("https://eping.wto.org/en/Search?viewData= G/TBT/N/PHL/339"," G/TBT/N/PHL/339")</f>
      </c>
      <c r="D281" s="8" t="s">
        <v>1298</v>
      </c>
      <c r="E281" s="8" t="s">
        <v>1299</v>
      </c>
      <c r="F281" s="8" t="s">
        <v>1300</v>
      </c>
      <c r="G281" s="8" t="s">
        <v>1301</v>
      </c>
      <c r="H281" s="8" t="s">
        <v>1302</v>
      </c>
      <c r="I281" s="8" t="s">
        <v>39</v>
      </c>
      <c r="J281" s="8" t="s">
        <v>22</v>
      </c>
      <c r="K281" s="6"/>
      <c r="L281" s="7">
        <v>45699</v>
      </c>
      <c r="M281" s="6" t="s">
        <v>32</v>
      </c>
      <c r="N281" s="8" t="s">
        <v>1303</v>
      </c>
      <c r="O281" s="6">
        <f>HYPERLINK("https://docs.wto.org/imrd/directdoc.asp?DDFDocuments/t/G/TBTN24/PHL339.DOCX", "https://docs.wto.org/imrd/directdoc.asp?DDFDocuments/t/G/TBTN24/PHL339.DOCX")</f>
      </c>
      <c r="P281" s="6">
        <f>HYPERLINK("https://docs.wto.org/imrd/directdoc.asp?DDFDocuments/u/G/TBTN24/PHL339.DOCX", "https://docs.wto.org/imrd/directdoc.asp?DDFDocuments/u/G/TBTN24/PHL339.DOCX")</f>
      </c>
      <c r="Q281" s="6">
        <f>HYPERLINK("https://docs.wto.org/imrd/directdoc.asp?DDFDocuments/v/G/TBTN24/PHL339.DOCX", "https://docs.wto.org/imrd/directdoc.asp?DDFDocuments/v/G/TBTN24/PHL339.DOCX")</f>
      </c>
    </row>
    <row r="282">
      <c r="A282" s="6" t="s">
        <v>513</v>
      </c>
      <c r="B282" s="7">
        <v>45638</v>
      </c>
      <c r="C282" s="9">
        <f>HYPERLINK("https://eping.wto.org/en/Search?viewData= G/SPS/N/IND/326"," G/SPS/N/IND/326")</f>
      </c>
      <c r="D282" s="8" t="s">
        <v>1304</v>
      </c>
      <c r="E282" s="8" t="s">
        <v>1305</v>
      </c>
      <c r="F282" s="8" t="s">
        <v>1306</v>
      </c>
      <c r="G282" s="8" t="s">
        <v>1307</v>
      </c>
      <c r="H282" s="8" t="s">
        <v>22</v>
      </c>
      <c r="I282" s="8" t="s">
        <v>518</v>
      </c>
      <c r="J282" s="8" t="s">
        <v>391</v>
      </c>
      <c r="K282" s="6" t="s">
        <v>1308</v>
      </c>
      <c r="L282" s="7">
        <v>45698</v>
      </c>
      <c r="M282" s="6" t="s">
        <v>32</v>
      </c>
      <c r="N282" s="8" t="s">
        <v>1309</v>
      </c>
      <c r="O282" s="6">
        <f>HYPERLINK("https://docs.wto.org/imrd/directdoc.asp?DDFDocuments/t/G/SPS/NIND326.DOCX", "https://docs.wto.org/imrd/directdoc.asp?DDFDocuments/t/G/SPS/NIND326.DOCX")</f>
      </c>
      <c r="P282" s="6">
        <f>HYPERLINK("https://docs.wto.org/imrd/directdoc.asp?DDFDocuments/u/G/SPS/NIND326.DOCX", "https://docs.wto.org/imrd/directdoc.asp?DDFDocuments/u/G/SPS/NIND326.DOCX")</f>
      </c>
      <c r="Q282" s="6">
        <f>HYPERLINK("https://docs.wto.org/imrd/directdoc.asp?DDFDocuments/v/G/SPS/NIND326.DOCX", "https://docs.wto.org/imrd/directdoc.asp?DDFDocuments/v/G/SPS/NIND326.DOCX")</f>
      </c>
    </row>
    <row r="283">
      <c r="A283" s="6" t="s">
        <v>82</v>
      </c>
      <c r="B283" s="7">
        <v>45638</v>
      </c>
      <c r="C283" s="9">
        <f>HYPERLINK("https://eping.wto.org/en/Search?viewData= G/SPS/N/BRA/2362"," G/SPS/N/BRA/2362")</f>
      </c>
      <c r="D283" s="8" t="s">
        <v>1310</v>
      </c>
      <c r="E283" s="8" t="s">
        <v>1311</v>
      </c>
      <c r="F283" s="8" t="s">
        <v>1312</v>
      </c>
      <c r="G283" s="8" t="s">
        <v>1313</v>
      </c>
      <c r="H283" s="8" t="s">
        <v>1314</v>
      </c>
      <c r="I283" s="8" t="s">
        <v>120</v>
      </c>
      <c r="J283" s="8" t="s">
        <v>255</v>
      </c>
      <c r="K283" s="6"/>
      <c r="L283" s="7">
        <v>45705</v>
      </c>
      <c r="M283" s="6" t="s">
        <v>32</v>
      </c>
      <c r="N283" s="8" t="s">
        <v>1315</v>
      </c>
      <c r="O283" s="6">
        <f>HYPERLINK("https://docs.wto.org/imrd/directdoc.asp?DDFDocuments/t/G/SPS/NBRA2362.DOCX", "https://docs.wto.org/imrd/directdoc.asp?DDFDocuments/t/G/SPS/NBRA2362.DOCX")</f>
      </c>
      <c r="P283" s="6">
        <f>HYPERLINK("https://docs.wto.org/imrd/directdoc.asp?DDFDocuments/u/G/SPS/NBRA2362.DOCX", "https://docs.wto.org/imrd/directdoc.asp?DDFDocuments/u/G/SPS/NBRA2362.DOCX")</f>
      </c>
      <c r="Q283" s="6">
        <f>HYPERLINK("https://docs.wto.org/imrd/directdoc.asp?DDFDocuments/v/G/SPS/NBRA2362.DOCX", "https://docs.wto.org/imrd/directdoc.asp?DDFDocuments/v/G/SPS/NBRA2362.DOCX")</f>
      </c>
    </row>
    <row r="284">
      <c r="A284" s="6" t="s">
        <v>82</v>
      </c>
      <c r="B284" s="7">
        <v>45638</v>
      </c>
      <c r="C284" s="9">
        <f>HYPERLINK("https://eping.wto.org/en/Search?viewData= G/SPS/N/BRA/2363"," G/SPS/N/BRA/2363")</f>
      </c>
      <c r="D284" s="8" t="s">
        <v>1316</v>
      </c>
      <c r="E284" s="8" t="s">
        <v>1311</v>
      </c>
      <c r="F284" s="8" t="s">
        <v>1317</v>
      </c>
      <c r="G284" s="8" t="s">
        <v>1313</v>
      </c>
      <c r="H284" s="8" t="s">
        <v>1318</v>
      </c>
      <c r="I284" s="8" t="s">
        <v>120</v>
      </c>
      <c r="J284" s="8" t="s">
        <v>416</v>
      </c>
      <c r="K284" s="6"/>
      <c r="L284" s="7">
        <v>45705</v>
      </c>
      <c r="M284" s="6" t="s">
        <v>32</v>
      </c>
      <c r="N284" s="8" t="s">
        <v>1319</v>
      </c>
      <c r="O284" s="6">
        <f>HYPERLINK("https://docs.wto.org/imrd/directdoc.asp?DDFDocuments/t/G/SPS/NBRA2363.DOCX", "https://docs.wto.org/imrd/directdoc.asp?DDFDocuments/t/G/SPS/NBRA2363.DOCX")</f>
      </c>
      <c r="P284" s="6">
        <f>HYPERLINK("https://docs.wto.org/imrd/directdoc.asp?DDFDocuments/u/G/SPS/NBRA2363.DOCX", "https://docs.wto.org/imrd/directdoc.asp?DDFDocuments/u/G/SPS/NBRA2363.DOCX")</f>
      </c>
      <c r="Q284" s="6">
        <f>HYPERLINK("https://docs.wto.org/imrd/directdoc.asp?DDFDocuments/v/G/SPS/NBRA2363.DOCX", "https://docs.wto.org/imrd/directdoc.asp?DDFDocuments/v/G/SPS/NBRA2363.DOCX")</f>
      </c>
    </row>
    <row r="285">
      <c r="A285" s="6" t="s">
        <v>152</v>
      </c>
      <c r="B285" s="7">
        <v>45638</v>
      </c>
      <c r="C285" s="9">
        <f>HYPERLINK("https://eping.wto.org/en/Search?viewData= G/SPS/N/PER/1072"," G/SPS/N/PER/1072")</f>
      </c>
      <c r="D285" s="8" t="s">
        <v>1320</v>
      </c>
      <c r="E285" s="8" t="s">
        <v>1321</v>
      </c>
      <c r="F285" s="8" t="s">
        <v>1322</v>
      </c>
      <c r="G285" s="8" t="s">
        <v>532</v>
      </c>
      <c r="H285" s="8" t="s">
        <v>22</v>
      </c>
      <c r="I285" s="8" t="s">
        <v>128</v>
      </c>
      <c r="J285" s="8" t="s">
        <v>1262</v>
      </c>
      <c r="K285" s="6" t="s">
        <v>360</v>
      </c>
      <c r="L285" s="7">
        <v>45698</v>
      </c>
      <c r="M285" s="6" t="s">
        <v>32</v>
      </c>
      <c r="N285" s="8" t="s">
        <v>1323</v>
      </c>
      <c r="O285" s="6">
        <f>HYPERLINK("https://docs.wto.org/imrd/directdoc.asp?DDFDocuments/t/G/SPS/NPER1072.DOCX", "https://docs.wto.org/imrd/directdoc.asp?DDFDocuments/t/G/SPS/NPER1072.DOCX")</f>
      </c>
      <c r="P285" s="6">
        <f>HYPERLINK("https://docs.wto.org/imrd/directdoc.asp?DDFDocuments/u/G/SPS/NPER1072.DOCX", "https://docs.wto.org/imrd/directdoc.asp?DDFDocuments/u/G/SPS/NPER1072.DOCX")</f>
      </c>
      <c r="Q285" s="6">
        <f>HYPERLINK("https://docs.wto.org/imrd/directdoc.asp?DDFDocuments/v/G/SPS/NPER1072.DOCX", "https://docs.wto.org/imrd/directdoc.asp?DDFDocuments/v/G/SPS/NPER1072.DOCX")</f>
      </c>
    </row>
    <row r="286">
      <c r="A286" s="6" t="s">
        <v>123</v>
      </c>
      <c r="B286" s="7">
        <v>45638</v>
      </c>
      <c r="C286" s="9">
        <f>HYPERLINK("https://eping.wto.org/en/Search?viewData= G/TBT/N/ECU/490/Add.5"," G/TBT/N/ECU/490/Add.5")</f>
      </c>
      <c r="D286" s="8" t="s">
        <v>1324</v>
      </c>
      <c r="E286" s="8" t="s">
        <v>1325</v>
      </c>
      <c r="F286" s="8" t="s">
        <v>1326</v>
      </c>
      <c r="G286" s="8" t="s">
        <v>22</v>
      </c>
      <c r="H286" s="8" t="s">
        <v>22</v>
      </c>
      <c r="I286" s="8" t="s">
        <v>1327</v>
      </c>
      <c r="J286" s="8" t="s">
        <v>22</v>
      </c>
      <c r="K286" s="6"/>
      <c r="L286" s="7">
        <v>45698</v>
      </c>
      <c r="M286" s="6" t="s">
        <v>40</v>
      </c>
      <c r="N286" s="8" t="s">
        <v>1328</v>
      </c>
      <c r="O286" s="6">
        <f>HYPERLINK("https://docs.wto.org/imrd/directdoc.asp?DDFDocuments/t/G/TBTN20/ECU490A5.DOCX", "https://docs.wto.org/imrd/directdoc.asp?DDFDocuments/t/G/TBTN20/ECU490A5.DOCX")</f>
      </c>
      <c r="P286" s="6">
        <f>HYPERLINK("https://docs.wto.org/imrd/directdoc.asp?DDFDocuments/u/G/TBTN20/ECU490A5.DOCX", "https://docs.wto.org/imrd/directdoc.asp?DDFDocuments/u/G/TBTN20/ECU490A5.DOCX")</f>
      </c>
      <c r="Q286" s="6">
        <f>HYPERLINK("https://docs.wto.org/imrd/directdoc.asp?DDFDocuments/v/G/TBTN20/ECU490A5.DOCX", "https://docs.wto.org/imrd/directdoc.asp?DDFDocuments/v/G/TBTN20/ECU490A5.DOCX")</f>
      </c>
    </row>
    <row r="287">
      <c r="A287" s="6" t="s">
        <v>82</v>
      </c>
      <c r="B287" s="7">
        <v>45638</v>
      </c>
      <c r="C287" s="9">
        <f>HYPERLINK("https://eping.wto.org/en/Search?viewData= G/SPS/N/BRA/2361"," G/SPS/N/BRA/2361")</f>
      </c>
      <c r="D287" s="8" t="s">
        <v>1329</v>
      </c>
      <c r="E287" s="8" t="s">
        <v>1330</v>
      </c>
      <c r="F287" s="8" t="s">
        <v>1331</v>
      </c>
      <c r="G287" s="8" t="s">
        <v>1332</v>
      </c>
      <c r="H287" s="8" t="s">
        <v>504</v>
      </c>
      <c r="I287" s="8" t="s">
        <v>120</v>
      </c>
      <c r="J287" s="8" t="s">
        <v>121</v>
      </c>
      <c r="K287" s="6"/>
      <c r="L287" s="7">
        <v>45699</v>
      </c>
      <c r="M287" s="6" t="s">
        <v>32</v>
      </c>
      <c r="N287" s="8" t="s">
        <v>1333</v>
      </c>
      <c r="O287" s="6">
        <f>HYPERLINK("https://docs.wto.org/imrd/directdoc.asp?DDFDocuments/t/G/SPS/NBRA2361.DOCX", "https://docs.wto.org/imrd/directdoc.asp?DDFDocuments/t/G/SPS/NBRA2361.DOCX")</f>
      </c>
      <c r="P287" s="6">
        <f>HYPERLINK("https://docs.wto.org/imrd/directdoc.asp?DDFDocuments/u/G/SPS/NBRA2361.DOCX", "https://docs.wto.org/imrd/directdoc.asp?DDFDocuments/u/G/SPS/NBRA2361.DOCX")</f>
      </c>
      <c r="Q287" s="6">
        <f>HYPERLINK("https://docs.wto.org/imrd/directdoc.asp?DDFDocuments/v/G/SPS/NBRA2361.DOCX", "https://docs.wto.org/imrd/directdoc.asp?DDFDocuments/v/G/SPS/NBRA2361.DOCX")</f>
      </c>
    </row>
    <row r="288">
      <c r="A288" s="6" t="s">
        <v>513</v>
      </c>
      <c r="B288" s="7">
        <v>45638</v>
      </c>
      <c r="C288" s="9">
        <f>HYPERLINK("https://eping.wto.org/en/Search?viewData= G/SPS/N/IND/325"," G/SPS/N/IND/325")</f>
      </c>
      <c r="D288" s="8" t="s">
        <v>1334</v>
      </c>
      <c r="E288" s="8" t="s">
        <v>1335</v>
      </c>
      <c r="F288" s="8" t="s">
        <v>1336</v>
      </c>
      <c r="G288" s="8" t="s">
        <v>1337</v>
      </c>
      <c r="H288" s="8" t="s">
        <v>22</v>
      </c>
      <c r="I288" s="8" t="s">
        <v>518</v>
      </c>
      <c r="J288" s="8" t="s">
        <v>1338</v>
      </c>
      <c r="K288" s="6" t="s">
        <v>1339</v>
      </c>
      <c r="L288" s="7">
        <v>45698</v>
      </c>
      <c r="M288" s="6" t="s">
        <v>32</v>
      </c>
      <c r="N288" s="8" t="s">
        <v>1340</v>
      </c>
      <c r="O288" s="6">
        <f>HYPERLINK("https://docs.wto.org/imrd/directdoc.asp?DDFDocuments/t/G/SPS/NIND325.DOCX", "https://docs.wto.org/imrd/directdoc.asp?DDFDocuments/t/G/SPS/NIND325.DOCX")</f>
      </c>
      <c r="P288" s="6">
        <f>HYPERLINK("https://docs.wto.org/imrd/directdoc.asp?DDFDocuments/u/G/SPS/NIND325.DOCX", "https://docs.wto.org/imrd/directdoc.asp?DDFDocuments/u/G/SPS/NIND325.DOCX")</f>
      </c>
      <c r="Q288" s="6">
        <f>HYPERLINK("https://docs.wto.org/imrd/directdoc.asp?DDFDocuments/v/G/SPS/NIND325.DOCX", "https://docs.wto.org/imrd/directdoc.asp?DDFDocuments/v/G/SPS/NIND325.DOCX")</f>
      </c>
    </row>
    <row r="289">
      <c r="A289" s="6" t="s">
        <v>152</v>
      </c>
      <c r="B289" s="7">
        <v>45638</v>
      </c>
      <c r="C289" s="9">
        <f>HYPERLINK("https://eping.wto.org/en/Search?viewData= G/SPS/N/PER/1073"," G/SPS/N/PER/1073")</f>
      </c>
      <c r="D289" s="8" t="s">
        <v>1341</v>
      </c>
      <c r="E289" s="8" t="s">
        <v>1342</v>
      </c>
      <c r="F289" s="8" t="s">
        <v>1343</v>
      </c>
      <c r="G289" s="8" t="s">
        <v>1344</v>
      </c>
      <c r="H289" s="8" t="s">
        <v>22</v>
      </c>
      <c r="I289" s="8" t="s">
        <v>348</v>
      </c>
      <c r="J289" s="8" t="s">
        <v>676</v>
      </c>
      <c r="K289" s="6" t="s">
        <v>1339</v>
      </c>
      <c r="L289" s="7" t="s">
        <v>22</v>
      </c>
      <c r="M289" s="6" t="s">
        <v>32</v>
      </c>
      <c r="N289" s="8" t="s">
        <v>1345</v>
      </c>
      <c r="O289" s="6">
        <f>HYPERLINK("https://docs.wto.org/imrd/directdoc.asp?DDFDocuments/t/G/SPS/NPER1073.DOCX", "https://docs.wto.org/imrd/directdoc.asp?DDFDocuments/t/G/SPS/NPER1073.DOCX")</f>
      </c>
      <c r="P289" s="6">
        <f>HYPERLINK("https://docs.wto.org/imrd/directdoc.asp?DDFDocuments/u/G/SPS/NPER1073.DOCX", "https://docs.wto.org/imrd/directdoc.asp?DDFDocuments/u/G/SPS/NPER1073.DOCX")</f>
      </c>
      <c r="Q289" s="6">
        <f>HYPERLINK("https://docs.wto.org/imrd/directdoc.asp?DDFDocuments/v/G/SPS/NPER1073.DOCX", "https://docs.wto.org/imrd/directdoc.asp?DDFDocuments/v/G/SPS/NPER1073.DOCX")</f>
      </c>
    </row>
    <row r="290">
      <c r="A290" s="6" t="s">
        <v>152</v>
      </c>
      <c r="B290" s="7">
        <v>45638</v>
      </c>
      <c r="C290" s="9">
        <f>HYPERLINK("https://eping.wto.org/en/Search?viewData= G/SPS/N/PER/1074"," G/SPS/N/PER/1074")</f>
      </c>
      <c r="D290" s="8" t="s">
        <v>1346</v>
      </c>
      <c r="E290" s="8" t="s">
        <v>1347</v>
      </c>
      <c r="F290" s="8" t="s">
        <v>1348</v>
      </c>
      <c r="G290" s="8" t="s">
        <v>1349</v>
      </c>
      <c r="H290" s="8" t="s">
        <v>22</v>
      </c>
      <c r="I290" s="8" t="s">
        <v>348</v>
      </c>
      <c r="J290" s="8" t="s">
        <v>1350</v>
      </c>
      <c r="K290" s="6" t="s">
        <v>732</v>
      </c>
      <c r="L290" s="7" t="s">
        <v>22</v>
      </c>
      <c r="M290" s="6" t="s">
        <v>32</v>
      </c>
      <c r="N290" s="8" t="s">
        <v>1351</v>
      </c>
      <c r="O290" s="6">
        <f>HYPERLINK("https://docs.wto.org/imrd/directdoc.asp?DDFDocuments/t/G/SPS/NPER1074.DOCX", "https://docs.wto.org/imrd/directdoc.asp?DDFDocuments/t/G/SPS/NPER1074.DOCX")</f>
      </c>
      <c r="P290" s="6">
        <f>HYPERLINK("https://docs.wto.org/imrd/directdoc.asp?DDFDocuments/u/G/SPS/NPER1074.DOCX", "https://docs.wto.org/imrd/directdoc.asp?DDFDocuments/u/G/SPS/NPER1074.DOCX")</f>
      </c>
      <c r="Q290" s="6">
        <f>HYPERLINK("https://docs.wto.org/imrd/directdoc.asp?DDFDocuments/v/G/SPS/NPER1074.DOCX", "https://docs.wto.org/imrd/directdoc.asp?DDFDocuments/v/G/SPS/NPER1074.DOCX")</f>
      </c>
    </row>
    <row r="291">
      <c r="A291" s="6" t="s">
        <v>400</v>
      </c>
      <c r="B291" s="7">
        <v>45638</v>
      </c>
      <c r="C291" s="9">
        <f>HYPERLINK("https://eping.wto.org/en/Search?viewData= G/SPS/N/USA/3496"," G/SPS/N/USA/3496")</f>
      </c>
      <c r="D291" s="8" t="s">
        <v>1352</v>
      </c>
      <c r="E291" s="8" t="s">
        <v>1353</v>
      </c>
      <c r="F291" s="8" t="s">
        <v>1354</v>
      </c>
      <c r="G291" s="8" t="s">
        <v>22</v>
      </c>
      <c r="H291" s="8" t="s">
        <v>22</v>
      </c>
      <c r="I291" s="8" t="s">
        <v>120</v>
      </c>
      <c r="J291" s="8" t="s">
        <v>121</v>
      </c>
      <c r="K291" s="6"/>
      <c r="L291" s="7" t="s">
        <v>22</v>
      </c>
      <c r="M291" s="6" t="s">
        <v>32</v>
      </c>
      <c r="N291" s="8" t="s">
        <v>1355</v>
      </c>
      <c r="O291" s="6">
        <f>HYPERLINK("https://docs.wto.org/imrd/directdoc.asp?DDFDocuments/t/G/SPS/NUSA3496.DOCX", "https://docs.wto.org/imrd/directdoc.asp?DDFDocuments/t/G/SPS/NUSA3496.DOCX")</f>
      </c>
      <c r="P291" s="6">
        <f>HYPERLINK("https://docs.wto.org/imrd/directdoc.asp?DDFDocuments/u/G/SPS/NUSA3496.DOCX", "https://docs.wto.org/imrd/directdoc.asp?DDFDocuments/u/G/SPS/NUSA3496.DOCX")</f>
      </c>
      <c r="Q291" s="6">
        <f>HYPERLINK("https://docs.wto.org/imrd/directdoc.asp?DDFDocuments/v/G/SPS/NUSA3496.DOCX", "https://docs.wto.org/imrd/directdoc.asp?DDFDocuments/v/G/SPS/NUSA3496.DOCX")</f>
      </c>
    </row>
    <row r="292">
      <c r="A292" s="6" t="s">
        <v>513</v>
      </c>
      <c r="B292" s="7">
        <v>45638</v>
      </c>
      <c r="C292" s="9">
        <f>HYPERLINK("https://eping.wto.org/en/Search?viewData= G/SPS/N/IND/324"," G/SPS/N/IND/324")</f>
      </c>
      <c r="D292" s="8" t="s">
        <v>1356</v>
      </c>
      <c r="E292" s="8" t="s">
        <v>1357</v>
      </c>
      <c r="F292" s="8" t="s">
        <v>149</v>
      </c>
      <c r="G292" s="8" t="s">
        <v>22</v>
      </c>
      <c r="H292" s="8" t="s">
        <v>22</v>
      </c>
      <c r="I292" s="8" t="s">
        <v>120</v>
      </c>
      <c r="J292" s="8" t="s">
        <v>1125</v>
      </c>
      <c r="K292" s="6" t="s">
        <v>22</v>
      </c>
      <c r="L292" s="7">
        <v>45698</v>
      </c>
      <c r="M292" s="6" t="s">
        <v>32</v>
      </c>
      <c r="N292" s="8" t="s">
        <v>1358</v>
      </c>
      <c r="O292" s="6">
        <f>HYPERLINK("https://docs.wto.org/imrd/directdoc.asp?DDFDocuments/t/G/SPS/NIND324.DOCX", "https://docs.wto.org/imrd/directdoc.asp?DDFDocuments/t/G/SPS/NIND324.DOCX")</f>
      </c>
      <c r="P292" s="6">
        <f>HYPERLINK("https://docs.wto.org/imrd/directdoc.asp?DDFDocuments/u/G/SPS/NIND324.DOCX", "https://docs.wto.org/imrd/directdoc.asp?DDFDocuments/u/G/SPS/NIND324.DOCX")</f>
      </c>
      <c r="Q292" s="6">
        <f>HYPERLINK("https://docs.wto.org/imrd/directdoc.asp?DDFDocuments/v/G/SPS/NIND324.DOCX", "https://docs.wto.org/imrd/directdoc.asp?DDFDocuments/v/G/SPS/NIND324.DOCX")</f>
      </c>
    </row>
    <row r="293">
      <c r="A293" s="6" t="s">
        <v>49</v>
      </c>
      <c r="B293" s="7">
        <v>45637</v>
      </c>
      <c r="C293" s="9">
        <f>HYPERLINK("https://eping.wto.org/en/Search?viewData= G/SPS/N/TZA/407"," G/SPS/N/TZA/407")</f>
      </c>
      <c r="D293" s="8" t="s">
        <v>1359</v>
      </c>
      <c r="E293" s="8" t="s">
        <v>1360</v>
      </c>
      <c r="F293" s="8" t="s">
        <v>1055</v>
      </c>
      <c r="G293" s="8" t="s">
        <v>1056</v>
      </c>
      <c r="H293" s="8" t="s">
        <v>1057</v>
      </c>
      <c r="I293" s="8" t="s">
        <v>120</v>
      </c>
      <c r="J293" s="8" t="s">
        <v>416</v>
      </c>
      <c r="K293" s="6" t="s">
        <v>22</v>
      </c>
      <c r="L293" s="7">
        <v>45697</v>
      </c>
      <c r="M293" s="6" t="s">
        <v>32</v>
      </c>
      <c r="N293" s="8" t="s">
        <v>1361</v>
      </c>
      <c r="O293" s="6">
        <f>HYPERLINK("https://docs.wto.org/imrd/directdoc.asp?DDFDocuments/t/G/SPS/NTZA407.DOCX", "https://docs.wto.org/imrd/directdoc.asp?DDFDocuments/t/G/SPS/NTZA407.DOCX")</f>
      </c>
      <c r="P293" s="6">
        <f>HYPERLINK("https://docs.wto.org/imrd/directdoc.asp?DDFDocuments/u/G/SPS/NTZA407.DOCX", "https://docs.wto.org/imrd/directdoc.asp?DDFDocuments/u/G/SPS/NTZA407.DOCX")</f>
      </c>
      <c r="Q293" s="6">
        <f>HYPERLINK("https://docs.wto.org/imrd/directdoc.asp?DDFDocuments/v/G/SPS/NTZA407.DOCX", "https://docs.wto.org/imrd/directdoc.asp?DDFDocuments/v/G/SPS/NTZA407.DOCX")</f>
      </c>
    </row>
    <row r="294">
      <c r="A294" s="6" t="s">
        <v>400</v>
      </c>
      <c r="B294" s="7">
        <v>45637</v>
      </c>
      <c r="C294" s="9">
        <f>HYPERLINK("https://eping.wto.org/en/Search?viewData= G/TBT/N/USA/1672/Add.1"," G/TBT/N/USA/1672/Add.1")</f>
      </c>
      <c r="D294" s="8" t="s">
        <v>1362</v>
      </c>
      <c r="E294" s="8" t="s">
        <v>1363</v>
      </c>
      <c r="F294" s="8" t="s">
        <v>1364</v>
      </c>
      <c r="G294" s="8" t="s">
        <v>22</v>
      </c>
      <c r="H294" s="8" t="s">
        <v>1365</v>
      </c>
      <c r="I294" s="8" t="s">
        <v>1366</v>
      </c>
      <c r="J294" s="8" t="s">
        <v>22</v>
      </c>
      <c r="K294" s="6"/>
      <c r="L294" s="7" t="s">
        <v>22</v>
      </c>
      <c r="M294" s="6" t="s">
        <v>40</v>
      </c>
      <c r="N294" s="8" t="s">
        <v>1367</v>
      </c>
      <c r="O294" s="6">
        <f>HYPERLINK("https://docs.wto.org/imrd/directdoc.asp?DDFDocuments/t/G/TBTN20/USA1672A1.DOCX", "https://docs.wto.org/imrd/directdoc.asp?DDFDocuments/t/G/TBTN20/USA1672A1.DOCX")</f>
      </c>
      <c r="P294" s="6">
        <f>HYPERLINK("https://docs.wto.org/imrd/directdoc.asp?DDFDocuments/u/G/TBTN20/USA1672A1.DOCX", "https://docs.wto.org/imrd/directdoc.asp?DDFDocuments/u/G/TBTN20/USA1672A1.DOCX")</f>
      </c>
      <c r="Q294" s="6">
        <f>HYPERLINK("https://docs.wto.org/imrd/directdoc.asp?DDFDocuments/v/G/TBTN20/USA1672A1.DOCX", "https://docs.wto.org/imrd/directdoc.asp?DDFDocuments/v/G/TBTN20/USA1672A1.DOCX")</f>
      </c>
    </row>
    <row r="295">
      <c r="A295" s="6" t="s">
        <v>333</v>
      </c>
      <c r="B295" s="7">
        <v>45637</v>
      </c>
      <c r="C295" s="9">
        <f>HYPERLINK("https://eping.wto.org/en/Search?viewData= G/SPS/N/AUS/587/Add.1"," G/SPS/N/AUS/587/Add.1")</f>
      </c>
      <c r="D295" s="8" t="s">
        <v>1368</v>
      </c>
      <c r="E295" s="8" t="s">
        <v>1369</v>
      </c>
      <c r="F295" s="8" t="s">
        <v>1370</v>
      </c>
      <c r="G295" s="8" t="s">
        <v>22</v>
      </c>
      <c r="H295" s="8" t="s">
        <v>22</v>
      </c>
      <c r="I295" s="8" t="s">
        <v>1371</v>
      </c>
      <c r="J295" s="8" t="s">
        <v>1372</v>
      </c>
      <c r="K295" s="6"/>
      <c r="L295" s="7" t="s">
        <v>22</v>
      </c>
      <c r="M295" s="6" t="s">
        <v>40</v>
      </c>
      <c r="N295" s="8" t="s">
        <v>1373</v>
      </c>
      <c r="O295" s="6">
        <f>HYPERLINK("https://docs.wto.org/imrd/directdoc.asp?DDFDocuments/t/G/SPS/NAUS587A1.DOCX", "https://docs.wto.org/imrd/directdoc.asp?DDFDocuments/t/G/SPS/NAUS587A1.DOCX")</f>
      </c>
      <c r="P295" s="6">
        <f>HYPERLINK("https://docs.wto.org/imrd/directdoc.asp?DDFDocuments/u/G/SPS/NAUS587A1.DOCX", "https://docs.wto.org/imrd/directdoc.asp?DDFDocuments/u/G/SPS/NAUS587A1.DOCX")</f>
      </c>
      <c r="Q295" s="6">
        <f>HYPERLINK("https://docs.wto.org/imrd/directdoc.asp?DDFDocuments/v/G/SPS/NAUS587A1.DOCX", "https://docs.wto.org/imrd/directdoc.asp?DDFDocuments/v/G/SPS/NAUS587A1.DOCX")</f>
      </c>
    </row>
    <row r="296">
      <c r="A296" s="6" t="s">
        <v>49</v>
      </c>
      <c r="B296" s="7">
        <v>45637</v>
      </c>
      <c r="C296" s="9">
        <f>HYPERLINK("https://eping.wto.org/en/Search?viewData= G/SPS/N/TZA/403"," G/SPS/N/TZA/403")</f>
      </c>
      <c r="D296" s="8" t="s">
        <v>1374</v>
      </c>
      <c r="E296" s="8" t="s">
        <v>1375</v>
      </c>
      <c r="F296" s="8" t="s">
        <v>1376</v>
      </c>
      <c r="G296" s="8" t="s">
        <v>1377</v>
      </c>
      <c r="H296" s="8" t="s">
        <v>1136</v>
      </c>
      <c r="I296" s="8" t="s">
        <v>120</v>
      </c>
      <c r="J296" s="8" t="s">
        <v>416</v>
      </c>
      <c r="K296" s="6" t="s">
        <v>22</v>
      </c>
      <c r="L296" s="7">
        <v>45697</v>
      </c>
      <c r="M296" s="6" t="s">
        <v>32</v>
      </c>
      <c r="N296" s="8" t="s">
        <v>1378</v>
      </c>
      <c r="O296" s="6">
        <f>HYPERLINK("https://docs.wto.org/imrd/directdoc.asp?DDFDocuments/t/G/SPS/NTZA403.DOCX", "https://docs.wto.org/imrd/directdoc.asp?DDFDocuments/t/G/SPS/NTZA403.DOCX")</f>
      </c>
      <c r="P296" s="6">
        <f>HYPERLINK("https://docs.wto.org/imrd/directdoc.asp?DDFDocuments/u/G/SPS/NTZA403.DOCX", "https://docs.wto.org/imrd/directdoc.asp?DDFDocuments/u/G/SPS/NTZA403.DOCX")</f>
      </c>
      <c r="Q296" s="6">
        <f>HYPERLINK("https://docs.wto.org/imrd/directdoc.asp?DDFDocuments/v/G/SPS/NTZA403.DOCX", "https://docs.wto.org/imrd/directdoc.asp?DDFDocuments/v/G/SPS/NTZA403.DOCX")</f>
      </c>
    </row>
    <row r="297">
      <c r="A297" s="6" t="s">
        <v>49</v>
      </c>
      <c r="B297" s="7">
        <v>45637</v>
      </c>
      <c r="C297" s="9">
        <f>HYPERLINK("https://eping.wto.org/en/Search?viewData= G/SPS/N/TZA/413"," G/SPS/N/TZA/413")</f>
      </c>
      <c r="D297" s="8" t="s">
        <v>1379</v>
      </c>
      <c r="E297" s="8" t="s">
        <v>1380</v>
      </c>
      <c r="F297" s="8" t="s">
        <v>1381</v>
      </c>
      <c r="G297" s="8" t="s">
        <v>1135</v>
      </c>
      <c r="H297" s="8" t="s">
        <v>1136</v>
      </c>
      <c r="I297" s="8" t="s">
        <v>120</v>
      </c>
      <c r="J297" s="8" t="s">
        <v>416</v>
      </c>
      <c r="K297" s="6" t="s">
        <v>22</v>
      </c>
      <c r="L297" s="7">
        <v>45697</v>
      </c>
      <c r="M297" s="6" t="s">
        <v>32</v>
      </c>
      <c r="N297" s="8" t="s">
        <v>1382</v>
      </c>
      <c r="O297" s="6">
        <f>HYPERLINK("https://docs.wto.org/imrd/directdoc.asp?DDFDocuments/t/G/SPS/NTZA413.DOCX", "https://docs.wto.org/imrd/directdoc.asp?DDFDocuments/t/G/SPS/NTZA413.DOCX")</f>
      </c>
      <c r="P297" s="6">
        <f>HYPERLINK("https://docs.wto.org/imrd/directdoc.asp?DDFDocuments/u/G/SPS/NTZA413.DOCX", "https://docs.wto.org/imrd/directdoc.asp?DDFDocuments/u/G/SPS/NTZA413.DOCX")</f>
      </c>
      <c r="Q297" s="6">
        <f>HYPERLINK("https://docs.wto.org/imrd/directdoc.asp?DDFDocuments/v/G/SPS/NTZA413.DOCX", "https://docs.wto.org/imrd/directdoc.asp?DDFDocuments/v/G/SPS/NTZA413.DOCX")</f>
      </c>
    </row>
    <row r="298">
      <c r="A298" s="6" t="s">
        <v>400</v>
      </c>
      <c r="B298" s="7">
        <v>45637</v>
      </c>
      <c r="C298" s="9">
        <f>HYPERLINK("https://eping.wto.org/en/Search?viewData= G/SPS/N/USA/3494"," G/SPS/N/USA/3494")</f>
      </c>
      <c r="D298" s="8" t="s">
        <v>1383</v>
      </c>
      <c r="E298" s="8" t="s">
        <v>1384</v>
      </c>
      <c r="F298" s="8" t="s">
        <v>1385</v>
      </c>
      <c r="G298" s="8" t="s">
        <v>22</v>
      </c>
      <c r="H298" s="8" t="s">
        <v>22</v>
      </c>
      <c r="I298" s="8" t="s">
        <v>120</v>
      </c>
      <c r="J298" s="8" t="s">
        <v>121</v>
      </c>
      <c r="K298" s="6" t="s">
        <v>22</v>
      </c>
      <c r="L298" s="7">
        <v>45665</v>
      </c>
      <c r="M298" s="6" t="s">
        <v>32</v>
      </c>
      <c r="N298" s="8" t="s">
        <v>1386</v>
      </c>
      <c r="O298" s="6">
        <f>HYPERLINK("https://docs.wto.org/imrd/directdoc.asp?DDFDocuments/t/G/SPS/NUSA3494.DOCX", "https://docs.wto.org/imrd/directdoc.asp?DDFDocuments/t/G/SPS/NUSA3494.DOCX")</f>
      </c>
      <c r="P298" s="6">
        <f>HYPERLINK("https://docs.wto.org/imrd/directdoc.asp?DDFDocuments/u/G/SPS/NUSA3494.DOCX", "https://docs.wto.org/imrd/directdoc.asp?DDFDocuments/u/G/SPS/NUSA3494.DOCX")</f>
      </c>
      <c r="Q298" s="6">
        <f>HYPERLINK("https://docs.wto.org/imrd/directdoc.asp?DDFDocuments/v/G/SPS/NUSA3494.DOCX", "https://docs.wto.org/imrd/directdoc.asp?DDFDocuments/v/G/SPS/NUSA3494.DOCX")</f>
      </c>
    </row>
    <row r="299">
      <c r="A299" s="6" t="s">
        <v>49</v>
      </c>
      <c r="B299" s="7">
        <v>45637</v>
      </c>
      <c r="C299" s="9">
        <f>HYPERLINK("https://eping.wto.org/en/Search?viewData= G/SPS/N/TZA/406"," G/SPS/N/TZA/406")</f>
      </c>
      <c r="D299" s="8" t="s">
        <v>1387</v>
      </c>
      <c r="E299" s="8" t="s">
        <v>1388</v>
      </c>
      <c r="F299" s="8" t="s">
        <v>1055</v>
      </c>
      <c r="G299" s="8" t="s">
        <v>1056</v>
      </c>
      <c r="H299" s="8" t="s">
        <v>1057</v>
      </c>
      <c r="I299" s="8" t="s">
        <v>120</v>
      </c>
      <c r="J299" s="8" t="s">
        <v>255</v>
      </c>
      <c r="K299" s="6" t="s">
        <v>22</v>
      </c>
      <c r="L299" s="7">
        <v>45697</v>
      </c>
      <c r="M299" s="6" t="s">
        <v>32</v>
      </c>
      <c r="N299" s="8" t="s">
        <v>1389</v>
      </c>
      <c r="O299" s="6">
        <f>HYPERLINK("https://docs.wto.org/imrd/directdoc.asp?DDFDocuments/t/G/SPS/NTZA406.DOCX", "https://docs.wto.org/imrd/directdoc.asp?DDFDocuments/t/G/SPS/NTZA406.DOCX")</f>
      </c>
      <c r="P299" s="6">
        <f>HYPERLINK("https://docs.wto.org/imrd/directdoc.asp?DDFDocuments/u/G/SPS/NTZA406.DOCX", "https://docs.wto.org/imrd/directdoc.asp?DDFDocuments/u/G/SPS/NTZA406.DOCX")</f>
      </c>
      <c r="Q299" s="6">
        <f>HYPERLINK("https://docs.wto.org/imrd/directdoc.asp?DDFDocuments/v/G/SPS/NTZA406.DOCX", "https://docs.wto.org/imrd/directdoc.asp?DDFDocuments/v/G/SPS/NTZA406.DOCX")</f>
      </c>
    </row>
    <row r="300">
      <c r="A300" s="6" t="s">
        <v>360</v>
      </c>
      <c r="B300" s="7">
        <v>45637</v>
      </c>
      <c r="C300" s="9">
        <f>HYPERLINK("https://eping.wto.org/en/Search?viewData= G/SPS/N/CHL/811"," G/SPS/N/CHL/811")</f>
      </c>
      <c r="D300" s="8" t="s">
        <v>1390</v>
      </c>
      <c r="E300" s="8" t="s">
        <v>1391</v>
      </c>
      <c r="F300" s="8" t="s">
        <v>1392</v>
      </c>
      <c r="G300" s="8" t="s">
        <v>1393</v>
      </c>
      <c r="H300" s="8" t="s">
        <v>22</v>
      </c>
      <c r="I300" s="8" t="s">
        <v>128</v>
      </c>
      <c r="J300" s="8" t="s">
        <v>1262</v>
      </c>
      <c r="K300" s="6" t="s">
        <v>400</v>
      </c>
      <c r="L300" s="7" t="s">
        <v>22</v>
      </c>
      <c r="M300" s="6" t="s">
        <v>32</v>
      </c>
      <c r="N300" s="8" t="s">
        <v>1394</v>
      </c>
      <c r="O300" s="6">
        <f>HYPERLINK("https://docs.wto.org/imrd/directdoc.asp?DDFDocuments/t/G/SPS/NCHL811.DOCX", "https://docs.wto.org/imrd/directdoc.asp?DDFDocuments/t/G/SPS/NCHL811.DOCX")</f>
      </c>
      <c r="P300" s="6">
        <f>HYPERLINK("https://docs.wto.org/imrd/directdoc.asp?DDFDocuments/u/G/SPS/NCHL811.DOCX", "https://docs.wto.org/imrd/directdoc.asp?DDFDocuments/u/G/SPS/NCHL811.DOCX")</f>
      </c>
      <c r="Q300" s="6">
        <f>HYPERLINK("https://docs.wto.org/imrd/directdoc.asp?DDFDocuments/v/G/SPS/NCHL811.DOCX", "https://docs.wto.org/imrd/directdoc.asp?DDFDocuments/v/G/SPS/NCHL811.DOCX")</f>
      </c>
    </row>
    <row r="301">
      <c r="A301" s="6" t="s">
        <v>49</v>
      </c>
      <c r="B301" s="7">
        <v>45637</v>
      </c>
      <c r="C301" s="9">
        <f>HYPERLINK("https://eping.wto.org/en/Search?viewData= G/SPS/N/TZA/414"," G/SPS/N/TZA/414")</f>
      </c>
      <c r="D301" s="8" t="s">
        <v>1395</v>
      </c>
      <c r="E301" s="8" t="s">
        <v>1396</v>
      </c>
      <c r="F301" s="8" t="s">
        <v>1190</v>
      </c>
      <c r="G301" s="8" t="s">
        <v>1191</v>
      </c>
      <c r="H301" s="8" t="s">
        <v>1192</v>
      </c>
      <c r="I301" s="8" t="s">
        <v>120</v>
      </c>
      <c r="J301" s="8" t="s">
        <v>416</v>
      </c>
      <c r="K301" s="6" t="s">
        <v>22</v>
      </c>
      <c r="L301" s="7">
        <v>45697</v>
      </c>
      <c r="M301" s="6" t="s">
        <v>32</v>
      </c>
      <c r="N301" s="8" t="s">
        <v>1397</v>
      </c>
      <c r="O301" s="6">
        <f>HYPERLINK("https://docs.wto.org/imrd/directdoc.asp?DDFDocuments/t/G/SPS/NTZA414.DOCX", "https://docs.wto.org/imrd/directdoc.asp?DDFDocuments/t/G/SPS/NTZA414.DOCX")</f>
      </c>
      <c r="P301" s="6">
        <f>HYPERLINK("https://docs.wto.org/imrd/directdoc.asp?DDFDocuments/u/G/SPS/NTZA414.DOCX", "https://docs.wto.org/imrd/directdoc.asp?DDFDocuments/u/G/SPS/NTZA414.DOCX")</f>
      </c>
      <c r="Q301" s="6">
        <f>HYPERLINK("https://docs.wto.org/imrd/directdoc.asp?DDFDocuments/v/G/SPS/NTZA414.DOCX", "https://docs.wto.org/imrd/directdoc.asp?DDFDocuments/v/G/SPS/NTZA414.DOCX")</f>
      </c>
    </row>
    <row r="302">
      <c r="A302" s="6" t="s">
        <v>49</v>
      </c>
      <c r="B302" s="7">
        <v>45637</v>
      </c>
      <c r="C302" s="9">
        <f>HYPERLINK("https://eping.wto.org/en/Search?viewData= G/SPS/N/TZA/409"," G/SPS/N/TZA/409")</f>
      </c>
      <c r="D302" s="8" t="s">
        <v>1398</v>
      </c>
      <c r="E302" s="8" t="s">
        <v>1399</v>
      </c>
      <c r="F302" s="8" t="s">
        <v>1055</v>
      </c>
      <c r="G302" s="8" t="s">
        <v>1056</v>
      </c>
      <c r="H302" s="8" t="s">
        <v>1057</v>
      </c>
      <c r="I302" s="8" t="s">
        <v>120</v>
      </c>
      <c r="J302" s="8" t="s">
        <v>416</v>
      </c>
      <c r="K302" s="6" t="s">
        <v>22</v>
      </c>
      <c r="L302" s="7">
        <v>45697</v>
      </c>
      <c r="M302" s="6" t="s">
        <v>32</v>
      </c>
      <c r="N302" s="8" t="s">
        <v>1400</v>
      </c>
      <c r="O302" s="6">
        <f>HYPERLINK("https://docs.wto.org/imrd/directdoc.asp?DDFDocuments/t/G/SPS/NTZA409.DOCX", "https://docs.wto.org/imrd/directdoc.asp?DDFDocuments/t/G/SPS/NTZA409.DOCX")</f>
      </c>
      <c r="P302" s="6">
        <f>HYPERLINK("https://docs.wto.org/imrd/directdoc.asp?DDFDocuments/u/G/SPS/NTZA409.DOCX", "https://docs.wto.org/imrd/directdoc.asp?DDFDocuments/u/G/SPS/NTZA409.DOCX")</f>
      </c>
      <c r="Q302" s="6">
        <f>HYPERLINK("https://docs.wto.org/imrd/directdoc.asp?DDFDocuments/v/G/SPS/NTZA409.DOCX", "https://docs.wto.org/imrd/directdoc.asp?DDFDocuments/v/G/SPS/NTZA409.DOCX")</f>
      </c>
    </row>
    <row r="303">
      <c r="A303" s="6" t="s">
        <v>49</v>
      </c>
      <c r="B303" s="7">
        <v>45637</v>
      </c>
      <c r="C303" s="9">
        <f>HYPERLINK("https://eping.wto.org/en/Search?viewData= G/SPS/N/TZA/404"," G/SPS/N/TZA/404")</f>
      </c>
      <c r="D303" s="8" t="s">
        <v>1401</v>
      </c>
      <c r="E303" s="8" t="s">
        <v>1402</v>
      </c>
      <c r="F303" s="8" t="s">
        <v>1403</v>
      </c>
      <c r="G303" s="8" t="s">
        <v>1404</v>
      </c>
      <c r="H303" s="8" t="s">
        <v>1057</v>
      </c>
      <c r="I303" s="8" t="s">
        <v>120</v>
      </c>
      <c r="J303" s="8" t="s">
        <v>416</v>
      </c>
      <c r="K303" s="6" t="s">
        <v>22</v>
      </c>
      <c r="L303" s="7">
        <v>45697</v>
      </c>
      <c r="M303" s="6" t="s">
        <v>32</v>
      </c>
      <c r="N303" s="8" t="s">
        <v>1405</v>
      </c>
      <c r="O303" s="6">
        <f>HYPERLINK("https://docs.wto.org/imrd/directdoc.asp?DDFDocuments/t/G/SPS/NTZA404.DOCX", "https://docs.wto.org/imrd/directdoc.asp?DDFDocuments/t/G/SPS/NTZA404.DOCX")</f>
      </c>
      <c r="P303" s="6">
        <f>HYPERLINK("https://docs.wto.org/imrd/directdoc.asp?DDFDocuments/u/G/SPS/NTZA404.DOCX", "https://docs.wto.org/imrd/directdoc.asp?DDFDocuments/u/G/SPS/NTZA404.DOCX")</f>
      </c>
      <c r="Q303" s="6">
        <f>HYPERLINK("https://docs.wto.org/imrd/directdoc.asp?DDFDocuments/v/G/SPS/NTZA404.DOCX", "https://docs.wto.org/imrd/directdoc.asp?DDFDocuments/v/G/SPS/NTZA404.DOCX")</f>
      </c>
    </row>
    <row r="304">
      <c r="A304" s="6" t="s">
        <v>152</v>
      </c>
      <c r="B304" s="7">
        <v>45637</v>
      </c>
      <c r="C304" s="9">
        <f>HYPERLINK("https://eping.wto.org/en/Search?viewData= G/SPS/N/PER/1071"," G/SPS/N/PER/1071")</f>
      </c>
      <c r="D304" s="8" t="s">
        <v>1406</v>
      </c>
      <c r="E304" s="8" t="s">
        <v>1407</v>
      </c>
      <c r="F304" s="8" t="s">
        <v>1408</v>
      </c>
      <c r="G304" s="8" t="s">
        <v>532</v>
      </c>
      <c r="H304" s="8" t="s">
        <v>22</v>
      </c>
      <c r="I304" s="8" t="s">
        <v>128</v>
      </c>
      <c r="J304" s="8" t="s">
        <v>1262</v>
      </c>
      <c r="K304" s="6" t="s">
        <v>360</v>
      </c>
      <c r="L304" s="7">
        <v>45685</v>
      </c>
      <c r="M304" s="6" t="s">
        <v>32</v>
      </c>
      <c r="N304" s="8" t="s">
        <v>1409</v>
      </c>
      <c r="O304" s="6">
        <f>HYPERLINK("https://docs.wto.org/imrd/directdoc.asp?DDFDocuments/t/G/SPS/NPER1071.DOCX", "https://docs.wto.org/imrd/directdoc.asp?DDFDocuments/t/G/SPS/NPER1071.DOCX")</f>
      </c>
      <c r="P304" s="6">
        <f>HYPERLINK("https://docs.wto.org/imrd/directdoc.asp?DDFDocuments/u/G/SPS/NPER1071.DOCX", "https://docs.wto.org/imrd/directdoc.asp?DDFDocuments/u/G/SPS/NPER1071.DOCX")</f>
      </c>
      <c r="Q304" s="6">
        <f>HYPERLINK("https://docs.wto.org/imrd/directdoc.asp?DDFDocuments/v/G/SPS/NPER1071.DOCX", "https://docs.wto.org/imrd/directdoc.asp?DDFDocuments/v/G/SPS/NPER1071.DOCX")</f>
      </c>
    </row>
    <row r="305">
      <c r="A305" s="6" t="s">
        <v>49</v>
      </c>
      <c r="B305" s="7">
        <v>45637</v>
      </c>
      <c r="C305" s="9">
        <f>HYPERLINK("https://eping.wto.org/en/Search?viewData= G/SPS/N/TZA/410"," G/SPS/N/TZA/410")</f>
      </c>
      <c r="D305" s="8" t="s">
        <v>1410</v>
      </c>
      <c r="E305" s="8" t="s">
        <v>1411</v>
      </c>
      <c r="F305" s="8" t="s">
        <v>1090</v>
      </c>
      <c r="G305" s="8" t="s">
        <v>1091</v>
      </c>
      <c r="H305" s="8" t="s">
        <v>1092</v>
      </c>
      <c r="I305" s="8" t="s">
        <v>120</v>
      </c>
      <c r="J305" s="8" t="s">
        <v>416</v>
      </c>
      <c r="K305" s="6" t="s">
        <v>22</v>
      </c>
      <c r="L305" s="7">
        <v>45697</v>
      </c>
      <c r="M305" s="6" t="s">
        <v>32</v>
      </c>
      <c r="N305" s="8" t="s">
        <v>1412</v>
      </c>
      <c r="O305" s="6">
        <f>HYPERLINK("https://docs.wto.org/imrd/directdoc.asp?DDFDocuments/t/G/SPS/NTZA410.DOCX", "https://docs.wto.org/imrd/directdoc.asp?DDFDocuments/t/G/SPS/NTZA410.DOCX")</f>
      </c>
      <c r="P305" s="6">
        <f>HYPERLINK("https://docs.wto.org/imrd/directdoc.asp?DDFDocuments/u/G/SPS/NTZA410.DOCX", "https://docs.wto.org/imrd/directdoc.asp?DDFDocuments/u/G/SPS/NTZA410.DOCX")</f>
      </c>
      <c r="Q305" s="6">
        <f>HYPERLINK("https://docs.wto.org/imrd/directdoc.asp?DDFDocuments/v/G/SPS/NTZA410.DOCX", "https://docs.wto.org/imrd/directdoc.asp?DDFDocuments/v/G/SPS/NTZA410.DOCX")</f>
      </c>
    </row>
    <row r="306">
      <c r="A306" s="6" t="s">
        <v>49</v>
      </c>
      <c r="B306" s="7">
        <v>45637</v>
      </c>
      <c r="C306" s="9">
        <f>HYPERLINK("https://eping.wto.org/en/Search?viewData= G/SPS/N/TZA/411"," G/SPS/N/TZA/411")</f>
      </c>
      <c r="D306" s="8" t="s">
        <v>1413</v>
      </c>
      <c r="E306" s="8" t="s">
        <v>1414</v>
      </c>
      <c r="F306" s="8" t="s">
        <v>1190</v>
      </c>
      <c r="G306" s="8" t="s">
        <v>1191</v>
      </c>
      <c r="H306" s="8" t="s">
        <v>1192</v>
      </c>
      <c r="I306" s="8" t="s">
        <v>120</v>
      </c>
      <c r="J306" s="8" t="s">
        <v>416</v>
      </c>
      <c r="K306" s="6" t="s">
        <v>22</v>
      </c>
      <c r="L306" s="7">
        <v>45697</v>
      </c>
      <c r="M306" s="6" t="s">
        <v>32</v>
      </c>
      <c r="N306" s="8" t="s">
        <v>1415</v>
      </c>
      <c r="O306" s="6">
        <f>HYPERLINK("https://docs.wto.org/imrd/directdoc.asp?DDFDocuments/t/G/SPS/NTZA411.DOCX", "https://docs.wto.org/imrd/directdoc.asp?DDFDocuments/t/G/SPS/NTZA411.DOCX")</f>
      </c>
      <c r="P306" s="6">
        <f>HYPERLINK("https://docs.wto.org/imrd/directdoc.asp?DDFDocuments/u/G/SPS/NTZA411.DOCX", "https://docs.wto.org/imrd/directdoc.asp?DDFDocuments/u/G/SPS/NTZA411.DOCX")</f>
      </c>
      <c r="Q306" s="6">
        <f>HYPERLINK("https://docs.wto.org/imrd/directdoc.asp?DDFDocuments/v/G/SPS/NTZA411.DOCX", "https://docs.wto.org/imrd/directdoc.asp?DDFDocuments/v/G/SPS/NTZA411.DOCX")</f>
      </c>
    </row>
    <row r="307">
      <c r="A307" s="6" t="s">
        <v>400</v>
      </c>
      <c r="B307" s="7">
        <v>45637</v>
      </c>
      <c r="C307" s="9">
        <f>HYPERLINK("https://eping.wto.org/en/Search?viewData= G/TBT/N/USA/1958/Add.5"," G/TBT/N/USA/1958/Add.5")</f>
      </c>
      <c r="D307" s="8" t="s">
        <v>1416</v>
      </c>
      <c r="E307" s="8" t="s">
        <v>1417</v>
      </c>
      <c r="F307" s="8" t="s">
        <v>1418</v>
      </c>
      <c r="G307" s="8" t="s">
        <v>22</v>
      </c>
      <c r="H307" s="8" t="s">
        <v>1419</v>
      </c>
      <c r="I307" s="8" t="s">
        <v>511</v>
      </c>
      <c r="J307" s="8" t="s">
        <v>22</v>
      </c>
      <c r="K307" s="6"/>
      <c r="L307" s="7" t="s">
        <v>22</v>
      </c>
      <c r="M307" s="6" t="s">
        <v>40</v>
      </c>
      <c r="N307" s="6"/>
      <c r="O307" s="6">
        <f>HYPERLINK("https://docs.wto.org/imrd/directdoc.asp?DDFDocuments/t/G/TBTN23/USA1958A5.DOCX", "https://docs.wto.org/imrd/directdoc.asp?DDFDocuments/t/G/TBTN23/USA1958A5.DOCX")</f>
      </c>
      <c r="P307" s="6">
        <f>HYPERLINK("https://docs.wto.org/imrd/directdoc.asp?DDFDocuments/u/G/TBTN23/USA1958A5.DOCX", "https://docs.wto.org/imrd/directdoc.asp?DDFDocuments/u/G/TBTN23/USA1958A5.DOCX")</f>
      </c>
      <c r="Q307" s="6">
        <f>HYPERLINK("https://docs.wto.org/imrd/directdoc.asp?DDFDocuments/v/G/TBTN23/USA1958A5.DOCX", "https://docs.wto.org/imrd/directdoc.asp?DDFDocuments/v/G/TBTN23/USA1958A5.DOCX")</f>
      </c>
    </row>
    <row r="308">
      <c r="A308" s="6" t="s">
        <v>49</v>
      </c>
      <c r="B308" s="7">
        <v>45637</v>
      </c>
      <c r="C308" s="9">
        <f>HYPERLINK("https://eping.wto.org/en/Search?viewData= G/SPS/N/TZA/405"," G/SPS/N/TZA/405")</f>
      </c>
      <c r="D308" s="8" t="s">
        <v>1420</v>
      </c>
      <c r="E308" s="8" t="s">
        <v>1421</v>
      </c>
      <c r="F308" s="8" t="s">
        <v>1055</v>
      </c>
      <c r="G308" s="8" t="s">
        <v>1056</v>
      </c>
      <c r="H308" s="8" t="s">
        <v>1057</v>
      </c>
      <c r="I308" s="8" t="s">
        <v>120</v>
      </c>
      <c r="J308" s="8" t="s">
        <v>416</v>
      </c>
      <c r="K308" s="6" t="s">
        <v>22</v>
      </c>
      <c r="L308" s="7">
        <v>45697</v>
      </c>
      <c r="M308" s="6" t="s">
        <v>32</v>
      </c>
      <c r="N308" s="8" t="s">
        <v>1422</v>
      </c>
      <c r="O308" s="6">
        <f>HYPERLINK("https://docs.wto.org/imrd/directdoc.asp?DDFDocuments/t/G/SPS/NTZA405.DOCX", "https://docs.wto.org/imrd/directdoc.asp?DDFDocuments/t/G/SPS/NTZA405.DOCX")</f>
      </c>
      <c r="P308" s="6">
        <f>HYPERLINK("https://docs.wto.org/imrd/directdoc.asp?DDFDocuments/u/G/SPS/NTZA405.DOCX", "https://docs.wto.org/imrd/directdoc.asp?DDFDocuments/u/G/SPS/NTZA405.DOCX")</f>
      </c>
      <c r="Q308" s="6">
        <f>HYPERLINK("https://docs.wto.org/imrd/directdoc.asp?DDFDocuments/v/G/SPS/NTZA405.DOCX", "https://docs.wto.org/imrd/directdoc.asp?DDFDocuments/v/G/SPS/NTZA405.DOCX")</f>
      </c>
    </row>
    <row r="309">
      <c r="A309" s="6" t="s">
        <v>49</v>
      </c>
      <c r="B309" s="7">
        <v>45637</v>
      </c>
      <c r="C309" s="9">
        <f>HYPERLINK("https://eping.wto.org/en/Search?viewData= G/SPS/N/TZA/408"," G/SPS/N/TZA/408")</f>
      </c>
      <c r="D309" s="8" t="s">
        <v>1423</v>
      </c>
      <c r="E309" s="8" t="s">
        <v>1424</v>
      </c>
      <c r="F309" s="8" t="s">
        <v>1055</v>
      </c>
      <c r="G309" s="8" t="s">
        <v>1056</v>
      </c>
      <c r="H309" s="8" t="s">
        <v>1057</v>
      </c>
      <c r="I309" s="8" t="s">
        <v>120</v>
      </c>
      <c r="J309" s="8" t="s">
        <v>255</v>
      </c>
      <c r="K309" s="6" t="s">
        <v>22</v>
      </c>
      <c r="L309" s="7">
        <v>45697</v>
      </c>
      <c r="M309" s="6" t="s">
        <v>32</v>
      </c>
      <c r="N309" s="8" t="s">
        <v>1425</v>
      </c>
      <c r="O309" s="6">
        <f>HYPERLINK("https://docs.wto.org/imrd/directdoc.asp?DDFDocuments/t/G/SPS/NTZA408.DOCX", "https://docs.wto.org/imrd/directdoc.asp?DDFDocuments/t/G/SPS/NTZA408.DOCX")</f>
      </c>
      <c r="P309" s="6">
        <f>HYPERLINK("https://docs.wto.org/imrd/directdoc.asp?DDFDocuments/u/G/SPS/NTZA408.DOCX", "https://docs.wto.org/imrd/directdoc.asp?DDFDocuments/u/G/SPS/NTZA408.DOCX")</f>
      </c>
      <c r="Q309" s="6">
        <f>HYPERLINK("https://docs.wto.org/imrd/directdoc.asp?DDFDocuments/v/G/SPS/NTZA408.DOCX", "https://docs.wto.org/imrd/directdoc.asp?DDFDocuments/v/G/SPS/NTZA408.DOCX")</f>
      </c>
    </row>
    <row r="310">
      <c r="A310" s="6" t="s">
        <v>49</v>
      </c>
      <c r="B310" s="7">
        <v>45637</v>
      </c>
      <c r="C310" s="9">
        <f>HYPERLINK("https://eping.wto.org/en/Search?viewData= G/SPS/N/TZA/412"," G/SPS/N/TZA/412")</f>
      </c>
      <c r="D310" s="8" t="s">
        <v>1426</v>
      </c>
      <c r="E310" s="8" t="s">
        <v>1427</v>
      </c>
      <c r="F310" s="8" t="s">
        <v>1428</v>
      </c>
      <c r="G310" s="8" t="s">
        <v>1182</v>
      </c>
      <c r="H310" s="8" t="s">
        <v>1136</v>
      </c>
      <c r="I310" s="8" t="s">
        <v>120</v>
      </c>
      <c r="J310" s="8" t="s">
        <v>255</v>
      </c>
      <c r="K310" s="6" t="s">
        <v>22</v>
      </c>
      <c r="L310" s="7">
        <v>45697</v>
      </c>
      <c r="M310" s="6" t="s">
        <v>32</v>
      </c>
      <c r="N310" s="8" t="s">
        <v>1429</v>
      </c>
      <c r="O310" s="6">
        <f>HYPERLINK("https://docs.wto.org/imrd/directdoc.asp?DDFDocuments/t/G/SPS/NTZA412.DOCX", "https://docs.wto.org/imrd/directdoc.asp?DDFDocuments/t/G/SPS/NTZA412.DOCX")</f>
      </c>
      <c r="P310" s="6">
        <f>HYPERLINK("https://docs.wto.org/imrd/directdoc.asp?DDFDocuments/u/G/SPS/NTZA412.DOCX", "https://docs.wto.org/imrd/directdoc.asp?DDFDocuments/u/G/SPS/NTZA412.DOCX")</f>
      </c>
      <c r="Q310" s="6">
        <f>HYPERLINK("https://docs.wto.org/imrd/directdoc.asp?DDFDocuments/v/G/SPS/NTZA412.DOCX", "https://docs.wto.org/imrd/directdoc.asp?DDFDocuments/v/G/SPS/NTZA412.DOCX")</f>
      </c>
    </row>
    <row r="311">
      <c r="A311" s="6" t="s">
        <v>49</v>
      </c>
      <c r="B311" s="7">
        <v>45637</v>
      </c>
      <c r="C311" s="9">
        <f>HYPERLINK("https://eping.wto.org/en/Search?viewData= G/SPS/N/TZA/415"," G/SPS/N/TZA/415")</f>
      </c>
      <c r="D311" s="8" t="s">
        <v>1430</v>
      </c>
      <c r="E311" s="8" t="s">
        <v>1431</v>
      </c>
      <c r="F311" s="8" t="s">
        <v>1432</v>
      </c>
      <c r="G311" s="8" t="s">
        <v>1433</v>
      </c>
      <c r="H311" s="8" t="s">
        <v>1136</v>
      </c>
      <c r="I311" s="8" t="s">
        <v>120</v>
      </c>
      <c r="J311" s="8" t="s">
        <v>416</v>
      </c>
      <c r="K311" s="6" t="s">
        <v>22</v>
      </c>
      <c r="L311" s="7">
        <v>45697</v>
      </c>
      <c r="M311" s="6" t="s">
        <v>32</v>
      </c>
      <c r="N311" s="8" t="s">
        <v>1434</v>
      </c>
      <c r="O311" s="6">
        <f>HYPERLINK("https://docs.wto.org/imrd/directdoc.asp?DDFDocuments/t/G/SPS/NTZA415.DOCX", "https://docs.wto.org/imrd/directdoc.asp?DDFDocuments/t/G/SPS/NTZA415.DOCX")</f>
      </c>
      <c r="P311" s="6">
        <f>HYPERLINK("https://docs.wto.org/imrd/directdoc.asp?DDFDocuments/u/G/SPS/NTZA415.DOCX", "https://docs.wto.org/imrd/directdoc.asp?DDFDocuments/u/G/SPS/NTZA415.DOCX")</f>
      </c>
      <c r="Q311" s="6">
        <f>HYPERLINK("https://docs.wto.org/imrd/directdoc.asp?DDFDocuments/v/G/SPS/NTZA415.DOCX", "https://docs.wto.org/imrd/directdoc.asp?DDFDocuments/v/G/SPS/NTZA415.DOCX")</f>
      </c>
    </row>
    <row r="312">
      <c r="A312" s="6" t="s">
        <v>400</v>
      </c>
      <c r="B312" s="7">
        <v>45637</v>
      </c>
      <c r="C312" s="9">
        <f>HYPERLINK("https://eping.wto.org/en/Search?viewData= G/SPS/N/USA/3495"," G/SPS/N/USA/3495")</f>
      </c>
      <c r="D312" s="8" t="s">
        <v>1435</v>
      </c>
      <c r="E312" s="8" t="s">
        <v>1436</v>
      </c>
      <c r="F312" s="8" t="s">
        <v>1437</v>
      </c>
      <c r="G312" s="8" t="s">
        <v>22</v>
      </c>
      <c r="H312" s="8" t="s">
        <v>22</v>
      </c>
      <c r="I312" s="8" t="s">
        <v>120</v>
      </c>
      <c r="J312" s="8" t="s">
        <v>121</v>
      </c>
      <c r="K312" s="6" t="s">
        <v>22</v>
      </c>
      <c r="L312" s="7">
        <v>45691</v>
      </c>
      <c r="M312" s="6" t="s">
        <v>32</v>
      </c>
      <c r="N312" s="8" t="s">
        <v>1438</v>
      </c>
      <c r="O312" s="6">
        <f>HYPERLINK("https://docs.wto.org/imrd/directdoc.asp?DDFDocuments/t/G/SPS/NUSA3495.DOCX", "https://docs.wto.org/imrd/directdoc.asp?DDFDocuments/t/G/SPS/NUSA3495.DOCX")</f>
      </c>
      <c r="P312" s="6">
        <f>HYPERLINK("https://docs.wto.org/imrd/directdoc.asp?DDFDocuments/u/G/SPS/NUSA3495.DOCX", "https://docs.wto.org/imrd/directdoc.asp?DDFDocuments/u/G/SPS/NUSA3495.DOCX")</f>
      </c>
      <c r="Q312" s="6">
        <f>HYPERLINK("https://docs.wto.org/imrd/directdoc.asp?DDFDocuments/v/G/SPS/NUSA3495.DOCX", "https://docs.wto.org/imrd/directdoc.asp?DDFDocuments/v/G/SPS/NUSA3495.DOCX")</f>
      </c>
    </row>
    <row r="313">
      <c r="A313" s="6" t="s">
        <v>299</v>
      </c>
      <c r="B313" s="7">
        <v>45636</v>
      </c>
      <c r="C313" s="9">
        <f>HYPERLINK("https://eping.wto.org/en/Search?viewData= G/SPS/N/NZL/778"," G/SPS/N/NZL/778")</f>
      </c>
      <c r="D313" s="8" t="s">
        <v>1439</v>
      </c>
      <c r="E313" s="8" t="s">
        <v>1440</v>
      </c>
      <c r="F313" s="8" t="s">
        <v>1441</v>
      </c>
      <c r="G313" s="8" t="s">
        <v>22</v>
      </c>
      <c r="H313" s="8" t="s">
        <v>22</v>
      </c>
      <c r="I313" s="8" t="s">
        <v>120</v>
      </c>
      <c r="J313" s="8" t="s">
        <v>121</v>
      </c>
      <c r="K313" s="6"/>
      <c r="L313" s="7">
        <v>45696</v>
      </c>
      <c r="M313" s="6" t="s">
        <v>32</v>
      </c>
      <c r="N313" s="8" t="s">
        <v>1442</v>
      </c>
      <c r="O313" s="6">
        <f>HYPERLINK("https://docs.wto.org/imrd/directdoc.asp?DDFDocuments/t/G/SPS/NNZL778.DOCX", "https://docs.wto.org/imrd/directdoc.asp?DDFDocuments/t/G/SPS/NNZL778.DOCX")</f>
      </c>
      <c r="P313" s="6">
        <f>HYPERLINK("https://docs.wto.org/imrd/directdoc.asp?DDFDocuments/u/G/SPS/NNZL778.DOCX", "https://docs.wto.org/imrd/directdoc.asp?DDFDocuments/u/G/SPS/NNZL778.DOCX")</f>
      </c>
      <c r="Q313" s="6">
        <f>HYPERLINK("https://docs.wto.org/imrd/directdoc.asp?DDFDocuments/v/G/SPS/NNZL778.DOCX", "https://docs.wto.org/imrd/directdoc.asp?DDFDocuments/v/G/SPS/NNZL778.DOCX")</f>
      </c>
    </row>
    <row r="314">
      <c r="A314" s="6" t="s">
        <v>1443</v>
      </c>
      <c r="B314" s="7">
        <v>45636</v>
      </c>
      <c r="C314" s="9">
        <f>HYPERLINK("https://eping.wto.org/en/Search?viewData= G/TBT/N/IDN/172"," G/TBT/N/IDN/172")</f>
      </c>
      <c r="D314" s="8" t="s">
        <v>1444</v>
      </c>
      <c r="E314" s="8" t="s">
        <v>1445</v>
      </c>
      <c r="F314" s="8" t="s">
        <v>1446</v>
      </c>
      <c r="G314" s="8" t="s">
        <v>22</v>
      </c>
      <c r="H314" s="8" t="s">
        <v>1447</v>
      </c>
      <c r="I314" s="8" t="s">
        <v>138</v>
      </c>
      <c r="J314" s="8" t="s">
        <v>139</v>
      </c>
      <c r="K314" s="6"/>
      <c r="L314" s="7">
        <v>45696</v>
      </c>
      <c r="M314" s="6" t="s">
        <v>32</v>
      </c>
      <c r="N314" s="8" t="s">
        <v>1448</v>
      </c>
      <c r="O314" s="6">
        <f>HYPERLINK("https://docs.wto.org/imrd/directdoc.asp?DDFDocuments/t/G/TBTN24/IDN172.DOCX", "https://docs.wto.org/imrd/directdoc.asp?DDFDocuments/t/G/TBTN24/IDN172.DOCX")</f>
      </c>
      <c r="P314" s="6">
        <f>HYPERLINK("https://docs.wto.org/imrd/directdoc.asp?DDFDocuments/u/G/TBTN24/IDN172.DOCX", "https://docs.wto.org/imrd/directdoc.asp?DDFDocuments/u/G/TBTN24/IDN172.DOCX")</f>
      </c>
      <c r="Q314" s="6">
        <f>HYPERLINK("https://docs.wto.org/imrd/directdoc.asp?DDFDocuments/v/G/TBTN24/IDN172.DOCX", "https://docs.wto.org/imrd/directdoc.asp?DDFDocuments/v/G/TBTN24/IDN172.DOCX")</f>
      </c>
    </row>
    <row r="315">
      <c r="A315" s="6" t="s">
        <v>82</v>
      </c>
      <c r="B315" s="7">
        <v>45636</v>
      </c>
      <c r="C315" s="9">
        <f>HYPERLINK("https://eping.wto.org/en/Search?viewData= G/TBT/N/BRA/1580"," G/TBT/N/BRA/1580")</f>
      </c>
      <c r="D315" s="8" t="s">
        <v>1449</v>
      </c>
      <c r="E315" s="8" t="s">
        <v>1450</v>
      </c>
      <c r="F315" s="8" t="s">
        <v>1451</v>
      </c>
      <c r="G315" s="8" t="s">
        <v>1452</v>
      </c>
      <c r="H315" s="8" t="s">
        <v>1453</v>
      </c>
      <c r="I315" s="8" t="s">
        <v>39</v>
      </c>
      <c r="J315" s="8" t="s">
        <v>139</v>
      </c>
      <c r="K315" s="6"/>
      <c r="L315" s="7">
        <v>45727</v>
      </c>
      <c r="M315" s="6" t="s">
        <v>32</v>
      </c>
      <c r="N315" s="8" t="s">
        <v>1454</v>
      </c>
      <c r="O315" s="6">
        <f>HYPERLINK("https://docs.wto.org/imrd/directdoc.asp?DDFDocuments/t/G/TBTN24/BRA1580.DOCX", "https://docs.wto.org/imrd/directdoc.asp?DDFDocuments/t/G/TBTN24/BRA1580.DOCX")</f>
      </c>
      <c r="P315" s="6">
        <f>HYPERLINK("https://docs.wto.org/imrd/directdoc.asp?DDFDocuments/u/G/TBTN24/BRA1580.DOCX", "https://docs.wto.org/imrd/directdoc.asp?DDFDocuments/u/G/TBTN24/BRA1580.DOCX")</f>
      </c>
      <c r="Q315" s="6">
        <f>HYPERLINK("https://docs.wto.org/imrd/directdoc.asp?DDFDocuments/v/G/TBTN24/BRA1580.DOCX", "https://docs.wto.org/imrd/directdoc.asp?DDFDocuments/v/G/TBTN24/BRA1580.DOCX")</f>
      </c>
    </row>
    <row r="316">
      <c r="A316" s="6" t="s">
        <v>1455</v>
      </c>
      <c r="B316" s="7">
        <v>45636</v>
      </c>
      <c r="C316" s="9">
        <f>HYPERLINK("https://eping.wto.org/en/Search?viewData= G/TBT/N/BLZ/18"," G/TBT/N/BLZ/18")</f>
      </c>
      <c r="D316" s="8" t="s">
        <v>1456</v>
      </c>
      <c r="E316" s="8" t="s">
        <v>1457</v>
      </c>
      <c r="F316" s="8" t="s">
        <v>1458</v>
      </c>
      <c r="G316" s="8" t="s">
        <v>1459</v>
      </c>
      <c r="H316" s="8" t="s">
        <v>1460</v>
      </c>
      <c r="I316" s="8" t="s">
        <v>1461</v>
      </c>
      <c r="J316" s="8" t="s">
        <v>22</v>
      </c>
      <c r="K316" s="6"/>
      <c r="L316" s="7">
        <v>45702</v>
      </c>
      <c r="M316" s="6" t="s">
        <v>32</v>
      </c>
      <c r="N316" s="8" t="s">
        <v>1462</v>
      </c>
      <c r="O316" s="6">
        <f>HYPERLINK("https://docs.wto.org/imrd/directdoc.asp?DDFDocuments/t/G/TBTN24/BLZ18.DOCX", "https://docs.wto.org/imrd/directdoc.asp?DDFDocuments/t/G/TBTN24/BLZ18.DOCX")</f>
      </c>
      <c r="P316" s="6">
        <f>HYPERLINK("https://docs.wto.org/imrd/directdoc.asp?DDFDocuments/u/G/TBTN24/BLZ18.DOCX", "https://docs.wto.org/imrd/directdoc.asp?DDFDocuments/u/G/TBTN24/BLZ18.DOCX")</f>
      </c>
      <c r="Q316" s="6">
        <f>HYPERLINK("https://docs.wto.org/imrd/directdoc.asp?DDFDocuments/v/G/TBTN24/BLZ18.DOCX", "https://docs.wto.org/imrd/directdoc.asp?DDFDocuments/v/G/TBTN24/BLZ18.DOCX")</f>
      </c>
    </row>
    <row r="317">
      <c r="A317" s="6" t="s">
        <v>472</v>
      </c>
      <c r="B317" s="7">
        <v>45636</v>
      </c>
      <c r="C317" s="9">
        <f>HYPERLINK("https://eping.wto.org/en/Search?viewData= G/TBT/N/JPN/845"," G/TBT/N/JPN/845")</f>
      </c>
      <c r="D317" s="8" t="s">
        <v>1463</v>
      </c>
      <c r="E317" s="8" t="s">
        <v>1464</v>
      </c>
      <c r="F317" s="8" t="s">
        <v>1465</v>
      </c>
      <c r="G317" s="8" t="s">
        <v>1466</v>
      </c>
      <c r="H317" s="8" t="s">
        <v>1467</v>
      </c>
      <c r="I317" s="8" t="s">
        <v>138</v>
      </c>
      <c r="J317" s="8" t="s">
        <v>22</v>
      </c>
      <c r="K317" s="6"/>
      <c r="L317" s="7">
        <v>45696</v>
      </c>
      <c r="M317" s="6" t="s">
        <v>32</v>
      </c>
      <c r="N317" s="8" t="s">
        <v>1468</v>
      </c>
      <c r="O317" s="6">
        <f>HYPERLINK("https://docs.wto.org/imrd/directdoc.asp?DDFDocuments/t/G/TBTN24/JPN845.DOCX", "https://docs.wto.org/imrd/directdoc.asp?DDFDocuments/t/G/TBTN24/JPN845.DOCX")</f>
      </c>
      <c r="P317" s="6">
        <f>HYPERLINK("https://docs.wto.org/imrd/directdoc.asp?DDFDocuments/u/G/TBTN24/JPN845.DOCX", "https://docs.wto.org/imrd/directdoc.asp?DDFDocuments/u/G/TBTN24/JPN845.DOCX")</f>
      </c>
      <c r="Q317" s="6">
        <f>HYPERLINK("https://docs.wto.org/imrd/directdoc.asp?DDFDocuments/v/G/TBTN24/JPN845.DOCX", "https://docs.wto.org/imrd/directdoc.asp?DDFDocuments/v/G/TBTN24/JPN845.DOCX")</f>
      </c>
    </row>
    <row r="318">
      <c r="A318" s="6" t="s">
        <v>400</v>
      </c>
      <c r="B318" s="7">
        <v>45636</v>
      </c>
      <c r="C318" s="9">
        <f>HYPERLINK("https://eping.wto.org/en/Search?viewData= G/TBT/N/USA/2064/Add.4"," G/TBT/N/USA/2064/Add.4")</f>
      </c>
      <c r="D318" s="8" t="s">
        <v>1469</v>
      </c>
      <c r="E318" s="8" t="s">
        <v>1470</v>
      </c>
      <c r="F318" s="8" t="s">
        <v>1471</v>
      </c>
      <c r="G318" s="8" t="s">
        <v>22</v>
      </c>
      <c r="H318" s="8" t="s">
        <v>1472</v>
      </c>
      <c r="I318" s="8" t="s">
        <v>760</v>
      </c>
      <c r="J318" s="8" t="s">
        <v>22</v>
      </c>
      <c r="K318" s="6"/>
      <c r="L318" s="7" t="s">
        <v>22</v>
      </c>
      <c r="M318" s="6" t="s">
        <v>40</v>
      </c>
      <c r="N318" s="8" t="s">
        <v>1473</v>
      </c>
      <c r="O318" s="6">
        <f>HYPERLINK("https://docs.wto.org/imrd/directdoc.asp?DDFDocuments/t/G/TBTN23/USA2064A4.DOCX", "https://docs.wto.org/imrd/directdoc.asp?DDFDocuments/t/G/TBTN23/USA2064A4.DOCX")</f>
      </c>
      <c r="P318" s="6">
        <f>HYPERLINK("https://docs.wto.org/imrd/directdoc.asp?DDFDocuments/u/G/TBTN23/USA2064A4.DOCX", "https://docs.wto.org/imrd/directdoc.asp?DDFDocuments/u/G/TBTN23/USA2064A4.DOCX")</f>
      </c>
      <c r="Q318" s="6">
        <f>HYPERLINK("https://docs.wto.org/imrd/directdoc.asp?DDFDocuments/v/G/TBTN23/USA2064A4.DOCX", "https://docs.wto.org/imrd/directdoc.asp?DDFDocuments/v/G/TBTN23/USA2064A4.DOCX")</f>
      </c>
    </row>
    <row r="319">
      <c r="A319" s="6" t="s">
        <v>400</v>
      </c>
      <c r="B319" s="7">
        <v>45636</v>
      </c>
      <c r="C319" s="9">
        <f>HYPERLINK("https://eping.wto.org/en/Search?viewData= G/TBT/N/USA/2082/Add.4"," G/TBT/N/USA/2082/Add.4")</f>
      </c>
      <c r="D319" s="8" t="s">
        <v>1474</v>
      </c>
      <c r="E319" s="8" t="s">
        <v>1475</v>
      </c>
      <c r="F319" s="8" t="s">
        <v>1476</v>
      </c>
      <c r="G319" s="8" t="s">
        <v>22</v>
      </c>
      <c r="H319" s="8" t="s">
        <v>1477</v>
      </c>
      <c r="I319" s="8" t="s">
        <v>619</v>
      </c>
      <c r="J319" s="8" t="s">
        <v>22</v>
      </c>
      <c r="K319" s="6"/>
      <c r="L319" s="7" t="s">
        <v>22</v>
      </c>
      <c r="M319" s="6" t="s">
        <v>40</v>
      </c>
      <c r="N319" s="6"/>
      <c r="O319" s="6">
        <f>HYPERLINK("https://docs.wto.org/imrd/directdoc.asp?DDFDocuments/t/G/TBTN24/USA2082A4.DOCX", "https://docs.wto.org/imrd/directdoc.asp?DDFDocuments/t/G/TBTN24/USA2082A4.DOCX")</f>
      </c>
      <c r="P319" s="6">
        <f>HYPERLINK("https://docs.wto.org/imrd/directdoc.asp?DDFDocuments/u/G/TBTN24/USA2082A4.DOCX", "https://docs.wto.org/imrd/directdoc.asp?DDFDocuments/u/G/TBTN24/USA2082A4.DOCX")</f>
      </c>
      <c r="Q319" s="6">
        <f>HYPERLINK("https://docs.wto.org/imrd/directdoc.asp?DDFDocuments/v/G/TBTN24/USA2082A4.DOCX", "https://docs.wto.org/imrd/directdoc.asp?DDFDocuments/v/G/TBTN24/USA2082A4.DOCX")</f>
      </c>
    </row>
    <row r="320">
      <c r="A320" s="6" t="s">
        <v>360</v>
      </c>
      <c r="B320" s="7">
        <v>45636</v>
      </c>
      <c r="C320" s="9">
        <f>HYPERLINK("https://eping.wto.org/en/Search?viewData= G/TBT/N/CHL/711"," G/TBT/N/CHL/711")</f>
      </c>
      <c r="D320" s="8" t="s">
        <v>1478</v>
      </c>
      <c r="E320" s="8" t="s">
        <v>1479</v>
      </c>
      <c r="F320" s="8" t="s">
        <v>1480</v>
      </c>
      <c r="G320" s="8" t="s">
        <v>22</v>
      </c>
      <c r="H320" s="8" t="s">
        <v>1481</v>
      </c>
      <c r="I320" s="8" t="s">
        <v>1482</v>
      </c>
      <c r="J320" s="8" t="s">
        <v>129</v>
      </c>
      <c r="K320" s="6"/>
      <c r="L320" s="7">
        <v>45666</v>
      </c>
      <c r="M320" s="6" t="s">
        <v>32</v>
      </c>
      <c r="N320" s="8" t="s">
        <v>1483</v>
      </c>
      <c r="O320" s="6">
        <f>HYPERLINK("https://docs.wto.org/imrd/directdoc.asp?DDFDocuments/t/G/TBTN24/CHL711.DOCX", "https://docs.wto.org/imrd/directdoc.asp?DDFDocuments/t/G/TBTN24/CHL711.DOCX")</f>
      </c>
      <c r="P320" s="6">
        <f>HYPERLINK("https://docs.wto.org/imrd/directdoc.asp?DDFDocuments/u/G/TBTN24/CHL711.DOCX", "https://docs.wto.org/imrd/directdoc.asp?DDFDocuments/u/G/TBTN24/CHL711.DOCX")</f>
      </c>
      <c r="Q320" s="6">
        <f>HYPERLINK("https://docs.wto.org/imrd/directdoc.asp?DDFDocuments/v/G/TBTN24/CHL711.DOCX", "https://docs.wto.org/imrd/directdoc.asp?DDFDocuments/v/G/TBTN24/CHL711.DOCX")</f>
      </c>
    </row>
    <row r="321">
      <c r="A321" s="6" t="s">
        <v>49</v>
      </c>
      <c r="B321" s="7">
        <v>45636</v>
      </c>
      <c r="C321" s="9">
        <f>HYPERLINK("https://eping.wto.org/en/Search?viewData= G/TBT/N/TZA/1224"," G/TBT/N/TZA/1224")</f>
      </c>
      <c r="D321" s="8" t="s">
        <v>1484</v>
      </c>
      <c r="E321" s="8" t="s">
        <v>1485</v>
      </c>
      <c r="F321" s="8" t="s">
        <v>1486</v>
      </c>
      <c r="G321" s="8" t="s">
        <v>1377</v>
      </c>
      <c r="H321" s="8" t="s">
        <v>1136</v>
      </c>
      <c r="I321" s="8" t="s">
        <v>1058</v>
      </c>
      <c r="J321" s="8" t="s">
        <v>58</v>
      </c>
      <c r="K321" s="6"/>
      <c r="L321" s="7">
        <v>45696</v>
      </c>
      <c r="M321" s="6" t="s">
        <v>32</v>
      </c>
      <c r="N321" s="8" t="s">
        <v>1487</v>
      </c>
      <c r="O321" s="6">
        <f>HYPERLINK("https://docs.wto.org/imrd/directdoc.asp?DDFDocuments/t/G/TBTN24/TZA1224.DOCX", "https://docs.wto.org/imrd/directdoc.asp?DDFDocuments/t/G/TBTN24/TZA1224.DOCX")</f>
      </c>
      <c r="P321" s="6">
        <f>HYPERLINK("https://docs.wto.org/imrd/directdoc.asp?DDFDocuments/u/G/TBTN24/TZA1224.DOCX", "https://docs.wto.org/imrd/directdoc.asp?DDFDocuments/u/G/TBTN24/TZA1224.DOCX")</f>
      </c>
      <c r="Q321" s="6">
        <f>HYPERLINK("https://docs.wto.org/imrd/directdoc.asp?DDFDocuments/v/G/TBTN24/TZA1224.DOCX", "https://docs.wto.org/imrd/directdoc.asp?DDFDocuments/v/G/TBTN24/TZA1224.DOCX")</f>
      </c>
    </row>
    <row r="322">
      <c r="A322" s="6" t="s">
        <v>1443</v>
      </c>
      <c r="B322" s="7">
        <v>45636</v>
      </c>
      <c r="C322" s="9">
        <f>HYPERLINK("https://eping.wto.org/en/Search?viewData= G/TBT/N/IDN/173"," G/TBT/N/IDN/173")</f>
      </c>
      <c r="D322" s="8" t="s">
        <v>1488</v>
      </c>
      <c r="E322" s="8" t="s">
        <v>1489</v>
      </c>
      <c r="F322" s="8" t="s">
        <v>1490</v>
      </c>
      <c r="G322" s="8" t="s">
        <v>22</v>
      </c>
      <c r="H322" s="8" t="s">
        <v>1169</v>
      </c>
      <c r="I322" s="8" t="s">
        <v>138</v>
      </c>
      <c r="J322" s="8" t="s">
        <v>139</v>
      </c>
      <c r="K322" s="6"/>
      <c r="L322" s="7">
        <v>45696</v>
      </c>
      <c r="M322" s="6" t="s">
        <v>32</v>
      </c>
      <c r="N322" s="8" t="s">
        <v>1491</v>
      </c>
      <c r="O322" s="6">
        <f>HYPERLINK("https://docs.wto.org/imrd/directdoc.asp?DDFDocuments/t/G/TBTN24/IDN173.DOCX", "https://docs.wto.org/imrd/directdoc.asp?DDFDocuments/t/G/TBTN24/IDN173.DOCX")</f>
      </c>
      <c r="P322" s="6">
        <f>HYPERLINK("https://docs.wto.org/imrd/directdoc.asp?DDFDocuments/u/G/TBTN24/IDN173.DOCX", "https://docs.wto.org/imrd/directdoc.asp?DDFDocuments/u/G/TBTN24/IDN173.DOCX")</f>
      </c>
      <c r="Q322" s="6">
        <f>HYPERLINK("https://docs.wto.org/imrd/directdoc.asp?DDFDocuments/v/G/TBTN24/IDN173.DOCX", "https://docs.wto.org/imrd/directdoc.asp?DDFDocuments/v/G/TBTN24/IDN173.DOCX")</f>
      </c>
    </row>
    <row r="323">
      <c r="A323" s="6" t="s">
        <v>82</v>
      </c>
      <c r="B323" s="7">
        <v>45636</v>
      </c>
      <c r="C323" s="9">
        <f>HYPERLINK("https://eping.wto.org/en/Search?viewData= G/TBT/N/BRA/1578"," G/TBT/N/BRA/1578")</f>
      </c>
      <c r="D323" s="8" t="s">
        <v>1492</v>
      </c>
      <c r="E323" s="8" t="s">
        <v>1493</v>
      </c>
      <c r="F323" s="8" t="s">
        <v>1494</v>
      </c>
      <c r="G323" s="8" t="s">
        <v>1495</v>
      </c>
      <c r="H323" s="8" t="s">
        <v>1496</v>
      </c>
      <c r="I323" s="8" t="s">
        <v>1497</v>
      </c>
      <c r="J323" s="8" t="s">
        <v>1498</v>
      </c>
      <c r="K323" s="6"/>
      <c r="L323" s="7" t="s">
        <v>22</v>
      </c>
      <c r="M323" s="6" t="s">
        <v>32</v>
      </c>
      <c r="N323" s="8" t="s">
        <v>1499</v>
      </c>
      <c r="O323" s="6">
        <f>HYPERLINK("https://docs.wto.org/imrd/directdoc.asp?DDFDocuments/t/G/TBTN24/BRA1578.DOCX", "https://docs.wto.org/imrd/directdoc.asp?DDFDocuments/t/G/TBTN24/BRA1578.DOCX")</f>
      </c>
      <c r="P323" s="6">
        <f>HYPERLINK("https://docs.wto.org/imrd/directdoc.asp?DDFDocuments/u/G/TBTN24/BRA1578.DOCX", "https://docs.wto.org/imrd/directdoc.asp?DDFDocuments/u/G/TBTN24/BRA1578.DOCX")</f>
      </c>
      <c r="Q323" s="6">
        <f>HYPERLINK("https://docs.wto.org/imrd/directdoc.asp?DDFDocuments/v/G/TBTN24/BRA1578.DOCX", "https://docs.wto.org/imrd/directdoc.asp?DDFDocuments/v/G/TBTN24/BRA1578.DOCX")</f>
      </c>
    </row>
    <row r="324">
      <c r="A324" s="6" t="s">
        <v>400</v>
      </c>
      <c r="B324" s="7">
        <v>45636</v>
      </c>
      <c r="C324" s="9">
        <f>HYPERLINK("https://eping.wto.org/en/Search?viewData= G/TBT/N/USA/1968/Add.2"," G/TBT/N/USA/1968/Add.2")</f>
      </c>
      <c r="D324" s="8" t="s">
        <v>1500</v>
      </c>
      <c r="E324" s="8" t="s">
        <v>1501</v>
      </c>
      <c r="F324" s="8" t="s">
        <v>1502</v>
      </c>
      <c r="G324" s="8" t="s">
        <v>22</v>
      </c>
      <c r="H324" s="8" t="s">
        <v>1503</v>
      </c>
      <c r="I324" s="8" t="s">
        <v>557</v>
      </c>
      <c r="J324" s="8" t="s">
        <v>22</v>
      </c>
      <c r="K324" s="6"/>
      <c r="L324" s="7" t="s">
        <v>22</v>
      </c>
      <c r="M324" s="6" t="s">
        <v>40</v>
      </c>
      <c r="N324" s="8" t="s">
        <v>1504</v>
      </c>
      <c r="O324" s="6">
        <f>HYPERLINK("https://docs.wto.org/imrd/directdoc.asp?DDFDocuments/t/G/TBTN23/USA1968A2.DOCX", "https://docs.wto.org/imrd/directdoc.asp?DDFDocuments/t/G/TBTN23/USA1968A2.DOCX")</f>
      </c>
      <c r="P324" s="6">
        <f>HYPERLINK("https://docs.wto.org/imrd/directdoc.asp?DDFDocuments/u/G/TBTN23/USA1968A2.DOCX", "https://docs.wto.org/imrd/directdoc.asp?DDFDocuments/u/G/TBTN23/USA1968A2.DOCX")</f>
      </c>
      <c r="Q324" s="6">
        <f>HYPERLINK("https://docs.wto.org/imrd/directdoc.asp?DDFDocuments/v/G/TBTN23/USA1968A2.DOCX", "https://docs.wto.org/imrd/directdoc.asp?DDFDocuments/v/G/TBTN23/USA1968A2.DOCX")</f>
      </c>
    </row>
    <row r="325">
      <c r="A325" s="6" t="s">
        <v>1455</v>
      </c>
      <c r="B325" s="7">
        <v>45636</v>
      </c>
      <c r="C325" s="9">
        <f>HYPERLINK("https://eping.wto.org/en/Search?viewData= G/TBT/N/BLZ/17"," G/TBT/N/BLZ/17")</f>
      </c>
      <c r="D325" s="8" t="s">
        <v>1505</v>
      </c>
      <c r="E325" s="8" t="s">
        <v>1506</v>
      </c>
      <c r="F325" s="8" t="s">
        <v>1507</v>
      </c>
      <c r="G325" s="8" t="s">
        <v>1508</v>
      </c>
      <c r="H325" s="8" t="s">
        <v>1509</v>
      </c>
      <c r="I325" s="8" t="s">
        <v>1461</v>
      </c>
      <c r="J325" s="8" t="s">
        <v>22</v>
      </c>
      <c r="K325" s="6"/>
      <c r="L325" s="7">
        <v>45702</v>
      </c>
      <c r="M325" s="6" t="s">
        <v>32</v>
      </c>
      <c r="N325" s="8" t="s">
        <v>1462</v>
      </c>
      <c r="O325" s="6">
        <f>HYPERLINK("https://docs.wto.org/imrd/directdoc.asp?DDFDocuments/t/G/TBTN24/BLZ17.DOCX", "https://docs.wto.org/imrd/directdoc.asp?DDFDocuments/t/G/TBTN24/BLZ17.DOCX")</f>
      </c>
      <c r="P325" s="6">
        <f>HYPERLINK("https://docs.wto.org/imrd/directdoc.asp?DDFDocuments/u/G/TBTN24/BLZ17.DOCX", "https://docs.wto.org/imrd/directdoc.asp?DDFDocuments/u/G/TBTN24/BLZ17.DOCX")</f>
      </c>
      <c r="Q325" s="6">
        <f>HYPERLINK("https://docs.wto.org/imrd/directdoc.asp?DDFDocuments/v/G/TBTN24/BLZ17.DOCX", "https://docs.wto.org/imrd/directdoc.asp?DDFDocuments/v/G/TBTN24/BLZ17.DOCX")</f>
      </c>
    </row>
    <row r="326">
      <c r="A326" s="6" t="s">
        <v>82</v>
      </c>
      <c r="B326" s="7">
        <v>45636</v>
      </c>
      <c r="C326" s="9">
        <f>HYPERLINK("https://eping.wto.org/en/Search?viewData= G/TBT/N/BRA/1579"," G/TBT/N/BRA/1579")</f>
      </c>
      <c r="D326" s="8" t="s">
        <v>1510</v>
      </c>
      <c r="E326" s="8" t="s">
        <v>1511</v>
      </c>
      <c r="F326" s="8" t="s">
        <v>1451</v>
      </c>
      <c r="G326" s="8" t="s">
        <v>1452</v>
      </c>
      <c r="H326" s="8" t="s">
        <v>1453</v>
      </c>
      <c r="I326" s="8" t="s">
        <v>39</v>
      </c>
      <c r="J326" s="8" t="s">
        <v>139</v>
      </c>
      <c r="K326" s="6"/>
      <c r="L326" s="7">
        <v>45698</v>
      </c>
      <c r="M326" s="6" t="s">
        <v>32</v>
      </c>
      <c r="N326" s="8" t="s">
        <v>1512</v>
      </c>
      <c r="O326" s="6">
        <f>HYPERLINK("https://docs.wto.org/imrd/directdoc.asp?DDFDocuments/t/G/TBTN24/BRA1579.DOCX", "https://docs.wto.org/imrd/directdoc.asp?DDFDocuments/t/G/TBTN24/BRA1579.DOCX")</f>
      </c>
      <c r="P326" s="6">
        <f>HYPERLINK("https://docs.wto.org/imrd/directdoc.asp?DDFDocuments/u/G/TBTN24/BRA1579.DOCX", "https://docs.wto.org/imrd/directdoc.asp?DDFDocuments/u/G/TBTN24/BRA1579.DOCX")</f>
      </c>
      <c r="Q326" s="6">
        <f>HYPERLINK("https://docs.wto.org/imrd/directdoc.asp?DDFDocuments/v/G/TBTN24/BRA1579.DOCX", "https://docs.wto.org/imrd/directdoc.asp?DDFDocuments/v/G/TBTN24/BRA1579.DOCX")</f>
      </c>
    </row>
    <row r="327">
      <c r="A327" s="6" t="s">
        <v>360</v>
      </c>
      <c r="B327" s="7">
        <v>45636</v>
      </c>
      <c r="C327" s="9">
        <f>HYPERLINK("https://eping.wto.org/en/Search?viewData= G/TBT/N/CHL/706/Corr.1"," G/TBT/N/CHL/706/Corr.1")</f>
      </c>
      <c r="D327" s="8" t="s">
        <v>1513</v>
      </c>
      <c r="E327" s="8" t="s">
        <v>1513</v>
      </c>
      <c r="F327" s="8" t="s">
        <v>1514</v>
      </c>
      <c r="G327" s="8" t="s">
        <v>22</v>
      </c>
      <c r="H327" s="8" t="s">
        <v>1515</v>
      </c>
      <c r="I327" s="8" t="s">
        <v>292</v>
      </c>
      <c r="J327" s="8" t="s">
        <v>22</v>
      </c>
      <c r="K327" s="6"/>
      <c r="L327" s="7" t="s">
        <v>22</v>
      </c>
      <c r="M327" s="6" t="s">
        <v>248</v>
      </c>
      <c r="N327" s="6"/>
      <c r="O327" s="6">
        <f>HYPERLINK("https://docs.wto.org/imrd/directdoc.asp?DDFDocuments/t/G/TBTN24/CHL706C1.DOCX", "https://docs.wto.org/imrd/directdoc.asp?DDFDocuments/t/G/TBTN24/CHL706C1.DOCX")</f>
      </c>
      <c r="P327" s="6">
        <f>HYPERLINK("https://docs.wto.org/imrd/directdoc.asp?DDFDocuments/u/G/TBTN24/CHL706C1.DOCX", "https://docs.wto.org/imrd/directdoc.asp?DDFDocuments/u/G/TBTN24/CHL706C1.DOCX")</f>
      </c>
      <c r="Q327" s="6">
        <f>HYPERLINK("https://docs.wto.org/imrd/directdoc.asp?DDFDocuments/v/G/TBTN24/CHL706C1.DOCX", "https://docs.wto.org/imrd/directdoc.asp?DDFDocuments/v/G/TBTN24/CHL706C1.DOCX")</f>
      </c>
    </row>
    <row r="328">
      <c r="A328" s="6" t="s">
        <v>68</v>
      </c>
      <c r="B328" s="7">
        <v>45635</v>
      </c>
      <c r="C328" s="9">
        <f>HYPERLINK("https://eping.wto.org/en/Search?viewData= G/SPS/N/UGA/392"," G/SPS/N/UGA/392")</f>
      </c>
      <c r="D328" s="8" t="s">
        <v>1516</v>
      </c>
      <c r="E328" s="8" t="s">
        <v>1517</v>
      </c>
      <c r="F328" s="8" t="s">
        <v>1518</v>
      </c>
      <c r="G328" s="8" t="s">
        <v>1519</v>
      </c>
      <c r="H328" s="8" t="s">
        <v>866</v>
      </c>
      <c r="I328" s="8" t="s">
        <v>120</v>
      </c>
      <c r="J328" s="8" t="s">
        <v>416</v>
      </c>
      <c r="K328" s="6"/>
      <c r="L328" s="7">
        <v>45695</v>
      </c>
      <c r="M328" s="6" t="s">
        <v>32</v>
      </c>
      <c r="N328" s="8" t="s">
        <v>1520</v>
      </c>
      <c r="O328" s="6">
        <f>HYPERLINK("https://docs.wto.org/imrd/directdoc.asp?DDFDocuments/t/G/SPS/NUGA392.DOCX", "https://docs.wto.org/imrd/directdoc.asp?DDFDocuments/t/G/SPS/NUGA392.DOCX")</f>
      </c>
      <c r="P328" s="6">
        <f>HYPERLINK("https://docs.wto.org/imrd/directdoc.asp?DDFDocuments/u/G/SPS/NUGA392.DOCX", "https://docs.wto.org/imrd/directdoc.asp?DDFDocuments/u/G/SPS/NUGA392.DOCX")</f>
      </c>
      <c r="Q328" s="6">
        <f>HYPERLINK("https://docs.wto.org/imrd/directdoc.asp?DDFDocuments/v/G/SPS/NUGA392.DOCX", "https://docs.wto.org/imrd/directdoc.asp?DDFDocuments/v/G/SPS/NUGA392.DOCX")</f>
      </c>
    </row>
    <row r="329">
      <c r="A329" s="6" t="s">
        <v>68</v>
      </c>
      <c r="B329" s="7">
        <v>45635</v>
      </c>
      <c r="C329" s="9">
        <f>HYPERLINK("https://eping.wto.org/en/Search?viewData= G/SPS/N/UGA/393"," G/SPS/N/UGA/393")</f>
      </c>
      <c r="D329" s="8" t="s">
        <v>1521</v>
      </c>
      <c r="E329" s="8" t="s">
        <v>1522</v>
      </c>
      <c r="F329" s="8" t="s">
        <v>1523</v>
      </c>
      <c r="G329" s="8" t="s">
        <v>1524</v>
      </c>
      <c r="H329" s="8" t="s">
        <v>872</v>
      </c>
      <c r="I329" s="8" t="s">
        <v>120</v>
      </c>
      <c r="J329" s="8" t="s">
        <v>255</v>
      </c>
      <c r="K329" s="6"/>
      <c r="L329" s="7">
        <v>45695</v>
      </c>
      <c r="M329" s="6" t="s">
        <v>32</v>
      </c>
      <c r="N329" s="8" t="s">
        <v>1525</v>
      </c>
      <c r="O329" s="6">
        <f>HYPERLINK("https://docs.wto.org/imrd/directdoc.asp?DDFDocuments/t/G/SPS/NUGA393.DOCX", "https://docs.wto.org/imrd/directdoc.asp?DDFDocuments/t/G/SPS/NUGA393.DOCX")</f>
      </c>
      <c r="P329" s="6">
        <f>HYPERLINK("https://docs.wto.org/imrd/directdoc.asp?DDFDocuments/u/G/SPS/NUGA393.DOCX", "https://docs.wto.org/imrd/directdoc.asp?DDFDocuments/u/G/SPS/NUGA393.DOCX")</f>
      </c>
      <c r="Q329" s="6">
        <f>HYPERLINK("https://docs.wto.org/imrd/directdoc.asp?DDFDocuments/v/G/SPS/NUGA393.DOCX", "https://docs.wto.org/imrd/directdoc.asp?DDFDocuments/v/G/SPS/NUGA393.DOCX")</f>
      </c>
    </row>
    <row r="330">
      <c r="A330" s="6" t="s">
        <v>400</v>
      </c>
      <c r="B330" s="7">
        <v>45635</v>
      </c>
      <c r="C330" s="9">
        <f>HYPERLINK("https://eping.wto.org/en/Search?viewData= G/TBT/N/USA/1981/Add.1"," G/TBT/N/USA/1981/Add.1")</f>
      </c>
      <c r="D330" s="8" t="s">
        <v>1526</v>
      </c>
      <c r="E330" s="8" t="s">
        <v>1527</v>
      </c>
      <c r="F330" s="8" t="s">
        <v>1528</v>
      </c>
      <c r="G330" s="8" t="s">
        <v>22</v>
      </c>
      <c r="H330" s="8" t="s">
        <v>1529</v>
      </c>
      <c r="I330" s="8" t="s">
        <v>1530</v>
      </c>
      <c r="J330" s="8" t="s">
        <v>22</v>
      </c>
      <c r="K330" s="6"/>
      <c r="L330" s="7" t="s">
        <v>22</v>
      </c>
      <c r="M330" s="6" t="s">
        <v>40</v>
      </c>
      <c r="N330" s="8" t="s">
        <v>1531</v>
      </c>
      <c r="O330" s="6">
        <f>HYPERLINK("https://docs.wto.org/imrd/directdoc.asp?DDFDocuments/t/G/TBTN23/USA1981A1.DOCX", "https://docs.wto.org/imrd/directdoc.asp?DDFDocuments/t/G/TBTN23/USA1981A1.DOCX")</f>
      </c>
      <c r="P330" s="6">
        <f>HYPERLINK("https://docs.wto.org/imrd/directdoc.asp?DDFDocuments/u/G/TBTN23/USA1981A1.DOCX", "https://docs.wto.org/imrd/directdoc.asp?DDFDocuments/u/G/TBTN23/USA1981A1.DOCX")</f>
      </c>
      <c r="Q330" s="6">
        <f>HYPERLINK("https://docs.wto.org/imrd/directdoc.asp?DDFDocuments/v/G/TBTN23/USA1981A1.DOCX", "https://docs.wto.org/imrd/directdoc.asp?DDFDocuments/v/G/TBTN23/USA1981A1.DOCX")</f>
      </c>
    </row>
    <row r="331">
      <c r="A331" s="6" t="s">
        <v>374</v>
      </c>
      <c r="B331" s="7">
        <v>45635</v>
      </c>
      <c r="C331" s="9">
        <f>HYPERLINK("https://eping.wto.org/en/Search?viewData= G/SPS/N/CRI/290"," G/SPS/N/CRI/290")</f>
      </c>
      <c r="D331" s="8" t="s">
        <v>1532</v>
      </c>
      <c r="E331" s="8" t="s">
        <v>1533</v>
      </c>
      <c r="F331" s="8" t="s">
        <v>1534</v>
      </c>
      <c r="G331" s="8" t="s">
        <v>1535</v>
      </c>
      <c r="H331" s="8" t="s">
        <v>22</v>
      </c>
      <c r="I331" s="8" t="s">
        <v>390</v>
      </c>
      <c r="J331" s="8" t="s">
        <v>771</v>
      </c>
      <c r="K331" s="6" t="s">
        <v>22</v>
      </c>
      <c r="L331" s="7">
        <v>45695</v>
      </c>
      <c r="M331" s="6" t="s">
        <v>32</v>
      </c>
      <c r="N331" s="8" t="s">
        <v>1536</v>
      </c>
      <c r="O331" s="6">
        <f>HYPERLINK("https://docs.wto.org/imrd/directdoc.asp?DDFDocuments/t/G/SPS/NCRI290.DOCX", "https://docs.wto.org/imrd/directdoc.asp?DDFDocuments/t/G/SPS/NCRI290.DOCX")</f>
      </c>
      <c r="P331" s="6">
        <f>HYPERLINK("https://docs.wto.org/imrd/directdoc.asp?DDFDocuments/u/G/SPS/NCRI290.DOCX", "https://docs.wto.org/imrd/directdoc.asp?DDFDocuments/u/G/SPS/NCRI290.DOCX")</f>
      </c>
      <c r="Q331" s="6">
        <f>HYPERLINK("https://docs.wto.org/imrd/directdoc.asp?DDFDocuments/v/G/SPS/NCRI290.DOCX", "https://docs.wto.org/imrd/directdoc.asp?DDFDocuments/v/G/SPS/NCRI290.DOCX")</f>
      </c>
    </row>
    <row r="332">
      <c r="A332" s="6" t="s">
        <v>82</v>
      </c>
      <c r="B332" s="7">
        <v>45635</v>
      </c>
      <c r="C332" s="9">
        <f>HYPERLINK("https://eping.wto.org/en/Search?viewData= G/SPS/N/BRA/2360"," G/SPS/N/BRA/2360")</f>
      </c>
      <c r="D332" s="8" t="s">
        <v>1537</v>
      </c>
      <c r="E332" s="8" t="s">
        <v>1538</v>
      </c>
      <c r="F332" s="8" t="s">
        <v>212</v>
      </c>
      <c r="G332" s="8" t="s">
        <v>22</v>
      </c>
      <c r="H332" s="8" t="s">
        <v>504</v>
      </c>
      <c r="I332" s="8" t="s">
        <v>120</v>
      </c>
      <c r="J332" s="8" t="s">
        <v>121</v>
      </c>
      <c r="K332" s="6" t="s">
        <v>22</v>
      </c>
      <c r="L332" s="7">
        <v>45691</v>
      </c>
      <c r="M332" s="6" t="s">
        <v>32</v>
      </c>
      <c r="N332" s="8" t="s">
        <v>1539</v>
      </c>
      <c r="O332" s="6">
        <f>HYPERLINK("https://docs.wto.org/imrd/directdoc.asp?DDFDocuments/t/G/SPS/NBRA2360.DOCX", "https://docs.wto.org/imrd/directdoc.asp?DDFDocuments/t/G/SPS/NBRA2360.DOCX")</f>
      </c>
      <c r="P332" s="6">
        <f>HYPERLINK("https://docs.wto.org/imrd/directdoc.asp?DDFDocuments/u/G/SPS/NBRA2360.DOCX", "https://docs.wto.org/imrd/directdoc.asp?DDFDocuments/u/G/SPS/NBRA2360.DOCX")</f>
      </c>
      <c r="Q332" s="6">
        <f>HYPERLINK("https://docs.wto.org/imrd/directdoc.asp?DDFDocuments/v/G/SPS/NBRA2360.DOCX", "https://docs.wto.org/imrd/directdoc.asp?DDFDocuments/v/G/SPS/NBRA2360.DOCX")</f>
      </c>
    </row>
    <row r="333">
      <c r="A333" s="6" t="s">
        <v>400</v>
      </c>
      <c r="B333" s="7">
        <v>45635</v>
      </c>
      <c r="C333" s="9">
        <f>HYPERLINK("https://eping.wto.org/en/Search?viewData= G/TBT/N/USA/1940/Add.1"," G/TBT/N/USA/1940/Add.1")</f>
      </c>
      <c r="D333" s="8" t="s">
        <v>1540</v>
      </c>
      <c r="E333" s="8" t="s">
        <v>1541</v>
      </c>
      <c r="F333" s="8" t="s">
        <v>1542</v>
      </c>
      <c r="G333" s="8" t="s">
        <v>22</v>
      </c>
      <c r="H333" s="8" t="s">
        <v>1543</v>
      </c>
      <c r="I333" s="8" t="s">
        <v>1544</v>
      </c>
      <c r="J333" s="8" t="s">
        <v>22</v>
      </c>
      <c r="K333" s="6"/>
      <c r="L333" s="7" t="s">
        <v>22</v>
      </c>
      <c r="M333" s="6" t="s">
        <v>40</v>
      </c>
      <c r="N333" s="8" t="s">
        <v>1545</v>
      </c>
      <c r="O333" s="6">
        <f>HYPERLINK("https://docs.wto.org/imrd/directdoc.asp?DDFDocuments/t/G/TBTN22/USA1940A1.DOCX", "https://docs.wto.org/imrd/directdoc.asp?DDFDocuments/t/G/TBTN22/USA1940A1.DOCX")</f>
      </c>
      <c r="P333" s="6">
        <f>HYPERLINK("https://docs.wto.org/imrd/directdoc.asp?DDFDocuments/u/G/TBTN22/USA1940A1.DOCX", "https://docs.wto.org/imrd/directdoc.asp?DDFDocuments/u/G/TBTN22/USA1940A1.DOCX")</f>
      </c>
      <c r="Q333" s="6">
        <f>HYPERLINK("https://docs.wto.org/imrd/directdoc.asp?DDFDocuments/v/G/TBTN22/USA1940A1.DOCX", "https://docs.wto.org/imrd/directdoc.asp?DDFDocuments/v/G/TBTN22/USA1940A1.DOCX")</f>
      </c>
    </row>
    <row r="334">
      <c r="A334" s="6" t="s">
        <v>68</v>
      </c>
      <c r="B334" s="7">
        <v>45635</v>
      </c>
      <c r="C334" s="9">
        <f>HYPERLINK("https://eping.wto.org/en/Search?viewData= G/SPS/N/UGA/387"," G/SPS/N/UGA/387")</f>
      </c>
      <c r="D334" s="8" t="s">
        <v>1546</v>
      </c>
      <c r="E334" s="8" t="s">
        <v>1547</v>
      </c>
      <c r="F334" s="8" t="s">
        <v>1548</v>
      </c>
      <c r="G334" s="8" t="s">
        <v>1549</v>
      </c>
      <c r="H334" s="8" t="s">
        <v>866</v>
      </c>
      <c r="I334" s="8" t="s">
        <v>120</v>
      </c>
      <c r="J334" s="8" t="s">
        <v>255</v>
      </c>
      <c r="K334" s="6"/>
      <c r="L334" s="7">
        <v>45695</v>
      </c>
      <c r="M334" s="6" t="s">
        <v>32</v>
      </c>
      <c r="N334" s="8" t="s">
        <v>1550</v>
      </c>
      <c r="O334" s="6">
        <f>HYPERLINK("https://docs.wto.org/imrd/directdoc.asp?DDFDocuments/t/G/SPS/NUGA387.DOCX", "https://docs.wto.org/imrd/directdoc.asp?DDFDocuments/t/G/SPS/NUGA387.DOCX")</f>
      </c>
      <c r="P334" s="6">
        <f>HYPERLINK("https://docs.wto.org/imrd/directdoc.asp?DDFDocuments/u/G/SPS/NUGA387.DOCX", "https://docs.wto.org/imrd/directdoc.asp?DDFDocuments/u/G/SPS/NUGA387.DOCX")</f>
      </c>
      <c r="Q334" s="6">
        <f>HYPERLINK("https://docs.wto.org/imrd/directdoc.asp?DDFDocuments/v/G/SPS/NUGA387.DOCX", "https://docs.wto.org/imrd/directdoc.asp?DDFDocuments/v/G/SPS/NUGA387.DOCX")</f>
      </c>
    </row>
    <row r="335">
      <c r="A335" s="6" t="s">
        <v>68</v>
      </c>
      <c r="B335" s="7">
        <v>45635</v>
      </c>
      <c r="C335" s="9">
        <f>HYPERLINK("https://eping.wto.org/en/Search?viewData= G/SPS/N/UGA/386"," G/SPS/N/UGA/386")</f>
      </c>
      <c r="D335" s="8" t="s">
        <v>1551</v>
      </c>
      <c r="E335" s="8" t="s">
        <v>1552</v>
      </c>
      <c r="F335" s="8" t="s">
        <v>1553</v>
      </c>
      <c r="G335" s="8" t="s">
        <v>1554</v>
      </c>
      <c r="H335" s="8" t="s">
        <v>866</v>
      </c>
      <c r="I335" s="8" t="s">
        <v>120</v>
      </c>
      <c r="J335" s="8" t="s">
        <v>255</v>
      </c>
      <c r="K335" s="6"/>
      <c r="L335" s="7">
        <v>45695</v>
      </c>
      <c r="M335" s="6" t="s">
        <v>32</v>
      </c>
      <c r="N335" s="8" t="s">
        <v>1555</v>
      </c>
      <c r="O335" s="6">
        <f>HYPERLINK("https://docs.wto.org/imrd/directdoc.asp?DDFDocuments/t/G/SPS/NUGA386.DOCX", "https://docs.wto.org/imrd/directdoc.asp?DDFDocuments/t/G/SPS/NUGA386.DOCX")</f>
      </c>
      <c r="P335" s="6">
        <f>HYPERLINK("https://docs.wto.org/imrd/directdoc.asp?DDFDocuments/u/G/SPS/NUGA386.DOCX", "https://docs.wto.org/imrd/directdoc.asp?DDFDocuments/u/G/SPS/NUGA386.DOCX")</f>
      </c>
      <c r="Q335" s="6">
        <f>HYPERLINK("https://docs.wto.org/imrd/directdoc.asp?DDFDocuments/v/G/SPS/NUGA386.DOCX", "https://docs.wto.org/imrd/directdoc.asp?DDFDocuments/v/G/SPS/NUGA386.DOCX")</f>
      </c>
    </row>
    <row r="336">
      <c r="A336" s="6" t="s">
        <v>132</v>
      </c>
      <c r="B336" s="7">
        <v>45635</v>
      </c>
      <c r="C336" s="9">
        <f>HYPERLINK("https://eping.wto.org/en/Search?viewData= G/SPS/N/CAN/1568/Add.1"," G/SPS/N/CAN/1568/Add.1")</f>
      </c>
      <c r="D336" s="8" t="s">
        <v>1556</v>
      </c>
      <c r="E336" s="8" t="s">
        <v>1557</v>
      </c>
      <c r="F336" s="8" t="s">
        <v>1558</v>
      </c>
      <c r="G336" s="8" t="s">
        <v>22</v>
      </c>
      <c r="H336" s="8" t="s">
        <v>1559</v>
      </c>
      <c r="I336" s="8" t="s">
        <v>120</v>
      </c>
      <c r="J336" s="8" t="s">
        <v>1560</v>
      </c>
      <c r="K336" s="6"/>
      <c r="L336" s="7" t="s">
        <v>22</v>
      </c>
      <c r="M336" s="6" t="s">
        <v>40</v>
      </c>
      <c r="N336" s="6"/>
      <c r="O336" s="6">
        <f>HYPERLINK("https://docs.wto.org/imrd/directdoc.asp?DDFDocuments/t/G/SPS/NCAN1568A1.DOCX", "https://docs.wto.org/imrd/directdoc.asp?DDFDocuments/t/G/SPS/NCAN1568A1.DOCX")</f>
      </c>
      <c r="P336" s="6">
        <f>HYPERLINK("https://docs.wto.org/imrd/directdoc.asp?DDFDocuments/u/G/SPS/NCAN1568A1.DOCX", "https://docs.wto.org/imrd/directdoc.asp?DDFDocuments/u/G/SPS/NCAN1568A1.DOCX")</f>
      </c>
      <c r="Q336" s="6">
        <f>HYPERLINK("https://docs.wto.org/imrd/directdoc.asp?DDFDocuments/v/G/SPS/NCAN1568A1.DOCX", "https://docs.wto.org/imrd/directdoc.asp?DDFDocuments/v/G/SPS/NCAN1568A1.DOCX")</f>
      </c>
    </row>
    <row r="337">
      <c r="A337" s="6" t="s">
        <v>68</v>
      </c>
      <c r="B337" s="7">
        <v>45635</v>
      </c>
      <c r="C337" s="9">
        <f>HYPERLINK("https://eping.wto.org/en/Search?viewData= G/SPS/N/UGA/384"," G/SPS/N/UGA/384")</f>
      </c>
      <c r="D337" s="8" t="s">
        <v>1561</v>
      </c>
      <c r="E337" s="8" t="s">
        <v>1562</v>
      </c>
      <c r="F337" s="8" t="s">
        <v>1563</v>
      </c>
      <c r="G337" s="8" t="s">
        <v>1564</v>
      </c>
      <c r="H337" s="8" t="s">
        <v>866</v>
      </c>
      <c r="I337" s="8" t="s">
        <v>120</v>
      </c>
      <c r="J337" s="8" t="s">
        <v>416</v>
      </c>
      <c r="K337" s="6"/>
      <c r="L337" s="7">
        <v>45695</v>
      </c>
      <c r="M337" s="6" t="s">
        <v>32</v>
      </c>
      <c r="N337" s="8" t="s">
        <v>1565</v>
      </c>
      <c r="O337" s="6">
        <f>HYPERLINK("https://docs.wto.org/imrd/directdoc.asp?DDFDocuments/t/G/SPS/NUGA384.DOCX", "https://docs.wto.org/imrd/directdoc.asp?DDFDocuments/t/G/SPS/NUGA384.DOCX")</f>
      </c>
      <c r="P337" s="6">
        <f>HYPERLINK("https://docs.wto.org/imrd/directdoc.asp?DDFDocuments/u/G/SPS/NUGA384.DOCX", "https://docs.wto.org/imrd/directdoc.asp?DDFDocuments/u/G/SPS/NUGA384.DOCX")</f>
      </c>
      <c r="Q337" s="6">
        <f>HYPERLINK("https://docs.wto.org/imrd/directdoc.asp?DDFDocuments/v/G/SPS/NUGA384.DOCX", "https://docs.wto.org/imrd/directdoc.asp?DDFDocuments/v/G/SPS/NUGA384.DOCX")</f>
      </c>
    </row>
    <row r="338">
      <c r="A338" s="6" t="s">
        <v>132</v>
      </c>
      <c r="B338" s="7">
        <v>45635</v>
      </c>
      <c r="C338" s="9">
        <f>HYPERLINK("https://eping.wto.org/en/Search?viewData= G/SPS/N/CAN/1567/Add.1"," G/SPS/N/CAN/1567/Add.1")</f>
      </c>
      <c r="D338" s="8" t="s">
        <v>1566</v>
      </c>
      <c r="E338" s="8" t="s">
        <v>1567</v>
      </c>
      <c r="F338" s="8" t="s">
        <v>1568</v>
      </c>
      <c r="G338" s="8" t="s">
        <v>22</v>
      </c>
      <c r="H338" s="8" t="s">
        <v>1569</v>
      </c>
      <c r="I338" s="8" t="s">
        <v>120</v>
      </c>
      <c r="J338" s="8" t="s">
        <v>1560</v>
      </c>
      <c r="K338" s="6"/>
      <c r="L338" s="7" t="s">
        <v>22</v>
      </c>
      <c r="M338" s="6" t="s">
        <v>40</v>
      </c>
      <c r="N338" s="6"/>
      <c r="O338" s="6">
        <f>HYPERLINK("https://docs.wto.org/imrd/directdoc.asp?DDFDocuments/t/G/SPS/NCAN1567A1.DOCX", "https://docs.wto.org/imrd/directdoc.asp?DDFDocuments/t/G/SPS/NCAN1567A1.DOCX")</f>
      </c>
      <c r="P338" s="6">
        <f>HYPERLINK("https://docs.wto.org/imrd/directdoc.asp?DDFDocuments/u/G/SPS/NCAN1567A1.DOCX", "https://docs.wto.org/imrd/directdoc.asp?DDFDocuments/u/G/SPS/NCAN1567A1.DOCX")</f>
      </c>
      <c r="Q338" s="6">
        <f>HYPERLINK("https://docs.wto.org/imrd/directdoc.asp?DDFDocuments/v/G/SPS/NCAN1567A1.DOCX", "https://docs.wto.org/imrd/directdoc.asp?DDFDocuments/v/G/SPS/NCAN1567A1.DOCX")</f>
      </c>
    </row>
    <row r="339">
      <c r="A339" s="6" t="s">
        <v>82</v>
      </c>
      <c r="B339" s="7">
        <v>45635</v>
      </c>
      <c r="C339" s="9">
        <f>HYPERLINK("https://eping.wto.org/en/Search?viewData= G/SPS/N/BRA/2359"," G/SPS/N/BRA/2359")</f>
      </c>
      <c r="D339" s="8" t="s">
        <v>1570</v>
      </c>
      <c r="E339" s="8" t="s">
        <v>1571</v>
      </c>
      <c r="F339" s="8" t="s">
        <v>212</v>
      </c>
      <c r="G339" s="8" t="s">
        <v>22</v>
      </c>
      <c r="H339" s="8" t="s">
        <v>1314</v>
      </c>
      <c r="I339" s="8" t="s">
        <v>120</v>
      </c>
      <c r="J339" s="8" t="s">
        <v>121</v>
      </c>
      <c r="K339" s="6"/>
      <c r="L339" s="7">
        <v>45691</v>
      </c>
      <c r="M339" s="6" t="s">
        <v>32</v>
      </c>
      <c r="N339" s="8" t="s">
        <v>1572</v>
      </c>
      <c r="O339" s="6">
        <f>HYPERLINK("https://docs.wto.org/imrd/directdoc.asp?DDFDocuments/t/G/SPS/NBRA2359.DOCX", "https://docs.wto.org/imrd/directdoc.asp?DDFDocuments/t/G/SPS/NBRA2359.DOCX")</f>
      </c>
      <c r="P339" s="6">
        <f>HYPERLINK("https://docs.wto.org/imrd/directdoc.asp?DDFDocuments/u/G/SPS/NBRA2359.DOCX", "https://docs.wto.org/imrd/directdoc.asp?DDFDocuments/u/G/SPS/NBRA2359.DOCX")</f>
      </c>
      <c r="Q339" s="6">
        <f>HYPERLINK("https://docs.wto.org/imrd/directdoc.asp?DDFDocuments/v/G/SPS/NBRA2359.DOCX", "https://docs.wto.org/imrd/directdoc.asp?DDFDocuments/v/G/SPS/NBRA2359.DOCX")</f>
      </c>
    </row>
    <row r="340">
      <c r="A340" s="6" t="s">
        <v>68</v>
      </c>
      <c r="B340" s="7">
        <v>45635</v>
      </c>
      <c r="C340" s="9">
        <f>HYPERLINK("https://eping.wto.org/en/Search?viewData= G/SPS/N/UGA/391"," G/SPS/N/UGA/391")</f>
      </c>
      <c r="D340" s="8" t="s">
        <v>1573</v>
      </c>
      <c r="E340" s="8" t="s">
        <v>1574</v>
      </c>
      <c r="F340" s="8" t="s">
        <v>1575</v>
      </c>
      <c r="G340" s="8" t="s">
        <v>396</v>
      </c>
      <c r="H340" s="8" t="s">
        <v>866</v>
      </c>
      <c r="I340" s="8" t="s">
        <v>120</v>
      </c>
      <c r="J340" s="8" t="s">
        <v>416</v>
      </c>
      <c r="K340" s="6"/>
      <c r="L340" s="7">
        <v>45695</v>
      </c>
      <c r="M340" s="6" t="s">
        <v>32</v>
      </c>
      <c r="N340" s="8" t="s">
        <v>1576</v>
      </c>
      <c r="O340" s="6">
        <f>HYPERLINK("https://docs.wto.org/imrd/directdoc.asp?DDFDocuments/t/G/SPS/NUGA391.DOCX", "https://docs.wto.org/imrd/directdoc.asp?DDFDocuments/t/G/SPS/NUGA391.DOCX")</f>
      </c>
      <c r="P340" s="6">
        <f>HYPERLINK("https://docs.wto.org/imrd/directdoc.asp?DDFDocuments/u/G/SPS/NUGA391.DOCX", "https://docs.wto.org/imrd/directdoc.asp?DDFDocuments/u/G/SPS/NUGA391.DOCX")</f>
      </c>
      <c r="Q340" s="6">
        <f>HYPERLINK("https://docs.wto.org/imrd/directdoc.asp?DDFDocuments/v/G/SPS/NUGA391.DOCX", "https://docs.wto.org/imrd/directdoc.asp?DDFDocuments/v/G/SPS/NUGA391.DOCX")</f>
      </c>
    </row>
    <row r="341">
      <c r="A341" s="6" t="s">
        <v>68</v>
      </c>
      <c r="B341" s="7">
        <v>45635</v>
      </c>
      <c r="C341" s="9">
        <f>HYPERLINK("https://eping.wto.org/en/Search?viewData= G/SPS/N/UGA/389"," G/SPS/N/UGA/389")</f>
      </c>
      <c r="D341" s="8" t="s">
        <v>1577</v>
      </c>
      <c r="E341" s="8" t="s">
        <v>1578</v>
      </c>
      <c r="F341" s="8" t="s">
        <v>1579</v>
      </c>
      <c r="G341" s="8" t="s">
        <v>887</v>
      </c>
      <c r="H341" s="8" t="s">
        <v>866</v>
      </c>
      <c r="I341" s="8" t="s">
        <v>120</v>
      </c>
      <c r="J341" s="8" t="s">
        <v>255</v>
      </c>
      <c r="K341" s="6"/>
      <c r="L341" s="7">
        <v>45695</v>
      </c>
      <c r="M341" s="6" t="s">
        <v>32</v>
      </c>
      <c r="N341" s="8" t="s">
        <v>1580</v>
      </c>
      <c r="O341" s="6">
        <f>HYPERLINK("https://docs.wto.org/imrd/directdoc.asp?DDFDocuments/t/G/SPS/NUGA389.DOCX", "https://docs.wto.org/imrd/directdoc.asp?DDFDocuments/t/G/SPS/NUGA389.DOCX")</f>
      </c>
      <c r="P341" s="6">
        <f>HYPERLINK("https://docs.wto.org/imrd/directdoc.asp?DDFDocuments/u/G/SPS/NUGA389.DOCX", "https://docs.wto.org/imrd/directdoc.asp?DDFDocuments/u/G/SPS/NUGA389.DOCX")</f>
      </c>
      <c r="Q341" s="6">
        <f>HYPERLINK("https://docs.wto.org/imrd/directdoc.asp?DDFDocuments/v/G/SPS/NUGA389.DOCX", "https://docs.wto.org/imrd/directdoc.asp?DDFDocuments/v/G/SPS/NUGA389.DOCX")</f>
      </c>
    </row>
    <row r="342">
      <c r="A342" s="6" t="s">
        <v>34</v>
      </c>
      <c r="B342" s="7">
        <v>45635</v>
      </c>
      <c r="C342" s="9">
        <f>HYPERLINK("https://eping.wto.org/en/Search?viewData= G/TBT/N/TPKM/548/Add.1"," G/TBT/N/TPKM/548/Add.1")</f>
      </c>
      <c r="D342" s="8" t="s">
        <v>1581</v>
      </c>
      <c r="E342" s="8" t="s">
        <v>1582</v>
      </c>
      <c r="F342" s="8" t="s">
        <v>1583</v>
      </c>
      <c r="G342" s="8" t="s">
        <v>1584</v>
      </c>
      <c r="H342" s="8" t="s">
        <v>1585</v>
      </c>
      <c r="I342" s="8" t="s">
        <v>39</v>
      </c>
      <c r="J342" s="8" t="s">
        <v>22</v>
      </c>
      <c r="K342" s="6"/>
      <c r="L342" s="7" t="s">
        <v>22</v>
      </c>
      <c r="M342" s="6" t="s">
        <v>40</v>
      </c>
      <c r="N342" s="8" t="s">
        <v>1586</v>
      </c>
      <c r="O342" s="6">
        <f>HYPERLINK("https://docs.wto.org/imrd/directdoc.asp?DDFDocuments/t/G/TBTN24/TPKM548A1.DOCX", "https://docs.wto.org/imrd/directdoc.asp?DDFDocuments/t/G/TBTN24/TPKM548A1.DOCX")</f>
      </c>
      <c r="P342" s="6">
        <f>HYPERLINK("https://docs.wto.org/imrd/directdoc.asp?DDFDocuments/u/G/TBTN24/TPKM548A1.DOCX", "https://docs.wto.org/imrd/directdoc.asp?DDFDocuments/u/G/TBTN24/TPKM548A1.DOCX")</f>
      </c>
      <c r="Q342" s="6">
        <f>HYPERLINK("https://docs.wto.org/imrd/directdoc.asp?DDFDocuments/v/G/TBTN24/TPKM548A1.DOCX", "https://docs.wto.org/imrd/directdoc.asp?DDFDocuments/v/G/TBTN24/TPKM548A1.DOCX")</f>
      </c>
    </row>
    <row r="343">
      <c r="A343" s="6" t="s">
        <v>68</v>
      </c>
      <c r="B343" s="7">
        <v>45635</v>
      </c>
      <c r="C343" s="9">
        <f>HYPERLINK("https://eping.wto.org/en/Search?viewData= G/SPS/N/UGA/388"," G/SPS/N/UGA/388")</f>
      </c>
      <c r="D343" s="8" t="s">
        <v>1587</v>
      </c>
      <c r="E343" s="8" t="s">
        <v>1588</v>
      </c>
      <c r="F343" s="8" t="s">
        <v>1589</v>
      </c>
      <c r="G343" s="8" t="s">
        <v>1590</v>
      </c>
      <c r="H343" s="8" t="s">
        <v>866</v>
      </c>
      <c r="I343" s="8" t="s">
        <v>120</v>
      </c>
      <c r="J343" s="8" t="s">
        <v>416</v>
      </c>
      <c r="K343" s="6"/>
      <c r="L343" s="7">
        <v>45695</v>
      </c>
      <c r="M343" s="6" t="s">
        <v>32</v>
      </c>
      <c r="N343" s="8" t="s">
        <v>1591</v>
      </c>
      <c r="O343" s="6">
        <f>HYPERLINK("https://docs.wto.org/imrd/directdoc.asp?DDFDocuments/t/G/SPS/NUGA388.DOCX", "https://docs.wto.org/imrd/directdoc.asp?DDFDocuments/t/G/SPS/NUGA388.DOCX")</f>
      </c>
      <c r="P343" s="6">
        <f>HYPERLINK("https://docs.wto.org/imrd/directdoc.asp?DDFDocuments/u/G/SPS/NUGA388.DOCX", "https://docs.wto.org/imrd/directdoc.asp?DDFDocuments/u/G/SPS/NUGA388.DOCX")</f>
      </c>
      <c r="Q343" s="6">
        <f>HYPERLINK("https://docs.wto.org/imrd/directdoc.asp?DDFDocuments/v/G/SPS/NUGA388.DOCX", "https://docs.wto.org/imrd/directdoc.asp?DDFDocuments/v/G/SPS/NUGA388.DOCX")</f>
      </c>
    </row>
    <row r="344">
      <c r="A344" s="6" t="s">
        <v>68</v>
      </c>
      <c r="B344" s="7">
        <v>45635</v>
      </c>
      <c r="C344" s="9">
        <f>HYPERLINK("https://eping.wto.org/en/Search?viewData= G/SPS/N/UGA/385"," G/SPS/N/UGA/385")</f>
      </c>
      <c r="D344" s="8" t="s">
        <v>1592</v>
      </c>
      <c r="E344" s="8" t="s">
        <v>1593</v>
      </c>
      <c r="F344" s="8" t="s">
        <v>1594</v>
      </c>
      <c r="G344" s="8" t="s">
        <v>1549</v>
      </c>
      <c r="H344" s="8" t="s">
        <v>866</v>
      </c>
      <c r="I344" s="8" t="s">
        <v>120</v>
      </c>
      <c r="J344" s="8" t="s">
        <v>255</v>
      </c>
      <c r="K344" s="6"/>
      <c r="L344" s="7">
        <v>45695</v>
      </c>
      <c r="M344" s="6" t="s">
        <v>32</v>
      </c>
      <c r="N344" s="8" t="s">
        <v>1595</v>
      </c>
      <c r="O344" s="6">
        <f>HYPERLINK("https://docs.wto.org/imrd/directdoc.asp?DDFDocuments/t/G/SPS/NUGA385.DOCX", "https://docs.wto.org/imrd/directdoc.asp?DDFDocuments/t/G/SPS/NUGA385.DOCX")</f>
      </c>
      <c r="P344" s="6">
        <f>HYPERLINK("https://docs.wto.org/imrd/directdoc.asp?DDFDocuments/u/G/SPS/NUGA385.DOCX", "https://docs.wto.org/imrd/directdoc.asp?DDFDocuments/u/G/SPS/NUGA385.DOCX")</f>
      </c>
      <c r="Q344" s="6">
        <f>HYPERLINK("https://docs.wto.org/imrd/directdoc.asp?DDFDocuments/v/G/SPS/NUGA385.DOCX", "https://docs.wto.org/imrd/directdoc.asp?DDFDocuments/v/G/SPS/NUGA385.DOCX")</f>
      </c>
    </row>
    <row r="345">
      <c r="A345" s="6" t="s">
        <v>68</v>
      </c>
      <c r="B345" s="7">
        <v>45635</v>
      </c>
      <c r="C345" s="9">
        <f>HYPERLINK("https://eping.wto.org/en/Search?viewData= G/SPS/N/UGA/390"," G/SPS/N/UGA/390")</f>
      </c>
      <c r="D345" s="8" t="s">
        <v>1596</v>
      </c>
      <c r="E345" s="8" t="s">
        <v>1597</v>
      </c>
      <c r="F345" s="8" t="s">
        <v>1598</v>
      </c>
      <c r="G345" s="8" t="s">
        <v>1599</v>
      </c>
      <c r="H345" s="8" t="s">
        <v>866</v>
      </c>
      <c r="I345" s="8" t="s">
        <v>120</v>
      </c>
      <c r="J345" s="8" t="s">
        <v>416</v>
      </c>
      <c r="K345" s="6"/>
      <c r="L345" s="7">
        <v>45695</v>
      </c>
      <c r="M345" s="6" t="s">
        <v>32</v>
      </c>
      <c r="N345" s="8" t="s">
        <v>1600</v>
      </c>
      <c r="O345" s="6">
        <f>HYPERLINK("https://docs.wto.org/imrd/directdoc.asp?DDFDocuments/t/G/SPS/NUGA390.DOCX", "https://docs.wto.org/imrd/directdoc.asp?DDFDocuments/t/G/SPS/NUGA390.DOCX")</f>
      </c>
      <c r="P345" s="6">
        <f>HYPERLINK("https://docs.wto.org/imrd/directdoc.asp?DDFDocuments/u/G/SPS/NUGA390.DOCX", "https://docs.wto.org/imrd/directdoc.asp?DDFDocuments/u/G/SPS/NUGA390.DOCX")</f>
      </c>
      <c r="Q345" s="6">
        <f>HYPERLINK("https://docs.wto.org/imrd/directdoc.asp?DDFDocuments/v/G/SPS/NUGA390.DOCX", "https://docs.wto.org/imrd/directdoc.asp?DDFDocuments/v/G/SPS/NUGA390.DOCX")</f>
      </c>
    </row>
    <row r="346">
      <c r="A346" s="6" t="s">
        <v>646</v>
      </c>
      <c r="B346" s="7">
        <v>45632</v>
      </c>
      <c r="C346" s="9">
        <f>HYPERLINK("https://eping.wto.org/en/Search?viewData= G/SPS/N/COL/369/Add.1"," G/SPS/N/COL/369/Add.1")</f>
      </c>
      <c r="D346" s="8" t="s">
        <v>1601</v>
      </c>
      <c r="E346" s="8" t="s">
        <v>1601</v>
      </c>
      <c r="F346" s="8" t="s">
        <v>1602</v>
      </c>
      <c r="G346" s="8" t="s">
        <v>1603</v>
      </c>
      <c r="H346" s="8" t="s">
        <v>22</v>
      </c>
      <c r="I346" s="8" t="s">
        <v>175</v>
      </c>
      <c r="J346" s="8" t="s">
        <v>1604</v>
      </c>
      <c r="K346" s="6"/>
      <c r="L346" s="7" t="s">
        <v>22</v>
      </c>
      <c r="M346" s="6" t="s">
        <v>40</v>
      </c>
      <c r="N346" s="8" t="s">
        <v>1605</v>
      </c>
      <c r="O346" s="6">
        <f>HYPERLINK("https://docs.wto.org/imrd/directdoc.asp?DDFDocuments/t/G/SPS/NCOL369A1.DOCX", "https://docs.wto.org/imrd/directdoc.asp?DDFDocuments/t/G/SPS/NCOL369A1.DOCX")</f>
      </c>
      <c r="P346" s="6">
        <f>HYPERLINK("https://docs.wto.org/imrd/directdoc.asp?DDFDocuments/u/G/SPS/NCOL369A1.DOCX", "https://docs.wto.org/imrd/directdoc.asp?DDFDocuments/u/G/SPS/NCOL369A1.DOCX")</f>
      </c>
      <c r="Q346" s="6">
        <f>HYPERLINK("https://docs.wto.org/imrd/directdoc.asp?DDFDocuments/v/G/SPS/NCOL369A1.DOCX", "https://docs.wto.org/imrd/directdoc.asp?DDFDocuments/v/G/SPS/NCOL369A1.DOCX")</f>
      </c>
    </row>
    <row r="347">
      <c r="A347" s="6" t="s">
        <v>343</v>
      </c>
      <c r="B347" s="7">
        <v>45632</v>
      </c>
      <c r="C347" s="9">
        <f>HYPERLINK("https://eping.wto.org/en/Search?viewData= G/TBT/N/THA/677/Add.3"," G/TBT/N/THA/677/Add.3")</f>
      </c>
      <c r="D347" s="8" t="s">
        <v>1606</v>
      </c>
      <c r="E347" s="8" t="s">
        <v>1607</v>
      </c>
      <c r="F347" s="8" t="s">
        <v>1608</v>
      </c>
      <c r="G347" s="8" t="s">
        <v>22</v>
      </c>
      <c r="H347" s="8" t="s">
        <v>1609</v>
      </c>
      <c r="I347" s="8" t="s">
        <v>138</v>
      </c>
      <c r="J347" s="8" t="s">
        <v>22</v>
      </c>
      <c r="K347" s="6"/>
      <c r="L347" s="7" t="s">
        <v>22</v>
      </c>
      <c r="M347" s="6" t="s">
        <v>40</v>
      </c>
      <c r="N347" s="8" t="s">
        <v>1610</v>
      </c>
      <c r="O347" s="6">
        <f>HYPERLINK("https://docs.wto.org/imrd/directdoc.asp?DDFDocuments/t/G/TBTN22/THA677A3.DOCX", "https://docs.wto.org/imrd/directdoc.asp?DDFDocuments/t/G/TBTN22/THA677A3.DOCX")</f>
      </c>
      <c r="P347" s="6">
        <f>HYPERLINK("https://docs.wto.org/imrd/directdoc.asp?DDFDocuments/u/G/TBTN22/THA677A3.DOCX", "https://docs.wto.org/imrd/directdoc.asp?DDFDocuments/u/G/TBTN22/THA677A3.DOCX")</f>
      </c>
      <c r="Q347" s="6">
        <f>HYPERLINK("https://docs.wto.org/imrd/directdoc.asp?DDFDocuments/v/G/TBTN22/THA677A3.DOCX", "https://docs.wto.org/imrd/directdoc.asp?DDFDocuments/v/G/TBTN22/THA677A3.DOCX")</f>
      </c>
    </row>
    <row r="348">
      <c r="A348" s="6" t="s">
        <v>472</v>
      </c>
      <c r="B348" s="7">
        <v>45632</v>
      </c>
      <c r="C348" s="9">
        <f>HYPERLINK("https://eping.wto.org/en/Search?viewData= G/SPS/N/JPN/1318"," G/SPS/N/JPN/1318")</f>
      </c>
      <c r="D348" s="8" t="s">
        <v>1611</v>
      </c>
      <c r="E348" s="8" t="s">
        <v>1612</v>
      </c>
      <c r="F348" s="8" t="s">
        <v>1613</v>
      </c>
      <c r="G348" s="8" t="s">
        <v>1614</v>
      </c>
      <c r="H348" s="8" t="s">
        <v>22</v>
      </c>
      <c r="I348" s="8" t="s">
        <v>348</v>
      </c>
      <c r="J348" s="8" t="s">
        <v>1615</v>
      </c>
      <c r="K348" s="6" t="s">
        <v>1616</v>
      </c>
      <c r="L348" s="7" t="s">
        <v>22</v>
      </c>
      <c r="M348" s="6" t="s">
        <v>331</v>
      </c>
      <c r="N348" s="8" t="s">
        <v>1617</v>
      </c>
      <c r="O348" s="6">
        <f>HYPERLINK("https://docs.wto.org/imrd/directdoc.asp?DDFDocuments/t/G/SPS/NJPN1318.DOCX", "https://docs.wto.org/imrd/directdoc.asp?DDFDocuments/t/G/SPS/NJPN1318.DOCX")</f>
      </c>
      <c r="P348" s="6">
        <f>HYPERLINK("https://docs.wto.org/imrd/directdoc.asp?DDFDocuments/u/G/SPS/NJPN1318.DOCX", "https://docs.wto.org/imrd/directdoc.asp?DDFDocuments/u/G/SPS/NJPN1318.DOCX")</f>
      </c>
      <c r="Q348" s="6">
        <f>HYPERLINK("https://docs.wto.org/imrd/directdoc.asp?DDFDocuments/v/G/SPS/NJPN1318.DOCX", "https://docs.wto.org/imrd/directdoc.asp?DDFDocuments/v/G/SPS/NJPN1318.DOCX")</f>
      </c>
    </row>
    <row r="349">
      <c r="A349" s="6" t="s">
        <v>360</v>
      </c>
      <c r="B349" s="7">
        <v>45632</v>
      </c>
      <c r="C349" s="9">
        <f>HYPERLINK("https://eping.wto.org/en/Search?viewData= G/SPS/N/CHL/731/Rev.1/Add.2"," G/SPS/N/CHL/731/Rev.1/Add.2")</f>
      </c>
      <c r="D349" s="8" t="s">
        <v>1618</v>
      </c>
      <c r="E349" s="8" t="s">
        <v>1618</v>
      </c>
      <c r="F349" s="8" t="s">
        <v>1619</v>
      </c>
      <c r="G349" s="8" t="s">
        <v>1620</v>
      </c>
      <c r="H349" s="8" t="s">
        <v>22</v>
      </c>
      <c r="I349" s="8" t="s">
        <v>175</v>
      </c>
      <c r="J349" s="8" t="s">
        <v>1621</v>
      </c>
      <c r="K349" s="6"/>
      <c r="L349" s="7" t="s">
        <v>22</v>
      </c>
      <c r="M349" s="6" t="s">
        <v>40</v>
      </c>
      <c r="N349" s="8" t="s">
        <v>1622</v>
      </c>
      <c r="O349" s="6">
        <f>HYPERLINK("https://docs.wto.org/imrd/directdoc.asp?DDFDocuments/t/G/SPS/NCHL731R1A2.DOCX", "https://docs.wto.org/imrd/directdoc.asp?DDFDocuments/t/G/SPS/NCHL731R1A2.DOCX")</f>
      </c>
      <c r="P349" s="6">
        <f>HYPERLINK("https://docs.wto.org/imrd/directdoc.asp?DDFDocuments/u/G/SPS/NCHL731R1A2.DOCX", "https://docs.wto.org/imrd/directdoc.asp?DDFDocuments/u/G/SPS/NCHL731R1A2.DOCX")</f>
      </c>
      <c r="Q349" s="6">
        <f>HYPERLINK("https://docs.wto.org/imrd/directdoc.asp?DDFDocuments/v/G/SPS/NCHL731R1A2.DOCX", "https://docs.wto.org/imrd/directdoc.asp?DDFDocuments/v/G/SPS/NCHL731R1A2.DOCX")</f>
      </c>
    </row>
    <row r="350">
      <c r="A350" s="6" t="s">
        <v>496</v>
      </c>
      <c r="B350" s="7">
        <v>45631</v>
      </c>
      <c r="C350" s="9">
        <f>HYPERLINK("https://eping.wto.org/en/Search?viewData= G/SPS/N/GBR/74"," G/SPS/N/GBR/74")</f>
      </c>
      <c r="D350" s="8" t="s">
        <v>1623</v>
      </c>
      <c r="E350" s="8" t="s">
        <v>1624</v>
      </c>
      <c r="F350" s="8" t="s">
        <v>1625</v>
      </c>
      <c r="G350" s="8" t="s">
        <v>22</v>
      </c>
      <c r="H350" s="8" t="s">
        <v>22</v>
      </c>
      <c r="I350" s="8" t="s">
        <v>120</v>
      </c>
      <c r="J350" s="8" t="s">
        <v>121</v>
      </c>
      <c r="K350" s="6" t="s">
        <v>22</v>
      </c>
      <c r="L350" s="7" t="s">
        <v>22</v>
      </c>
      <c r="M350" s="6" t="s">
        <v>32</v>
      </c>
      <c r="N350" s="8" t="s">
        <v>1626</v>
      </c>
      <c r="O350" s="6">
        <f>HYPERLINK("https://docs.wto.org/imrd/directdoc.asp?DDFDocuments/t/G/SPS/NGBR74.DOCX", "https://docs.wto.org/imrd/directdoc.asp?DDFDocuments/t/G/SPS/NGBR74.DOCX")</f>
      </c>
      <c r="P350" s="6">
        <f>HYPERLINK("https://docs.wto.org/imrd/directdoc.asp?DDFDocuments/u/G/SPS/NGBR74.DOCX", "https://docs.wto.org/imrd/directdoc.asp?DDFDocuments/u/G/SPS/NGBR74.DOCX")</f>
      </c>
      <c r="Q350" s="6">
        <f>HYPERLINK("https://docs.wto.org/imrd/directdoc.asp?DDFDocuments/v/G/SPS/NGBR74.DOCX", "https://docs.wto.org/imrd/directdoc.asp?DDFDocuments/v/G/SPS/NGBR74.DOCX")</f>
      </c>
    </row>
    <row r="351">
      <c r="A351" s="6" t="s">
        <v>400</v>
      </c>
      <c r="B351" s="7">
        <v>45631</v>
      </c>
      <c r="C351" s="9">
        <f>HYPERLINK("https://eping.wto.org/en/Search?viewData= G/TBT/N/USA/1088/Rev.3"," G/TBT/N/USA/1088/Rev.3")</f>
      </c>
      <c r="D351" s="8" t="s">
        <v>1627</v>
      </c>
      <c r="E351" s="8" t="s">
        <v>1628</v>
      </c>
      <c r="F351" s="8" t="s">
        <v>1629</v>
      </c>
      <c r="G351" s="8" t="s">
        <v>22</v>
      </c>
      <c r="H351" s="8" t="s">
        <v>1630</v>
      </c>
      <c r="I351" s="8" t="s">
        <v>265</v>
      </c>
      <c r="J351" s="8" t="s">
        <v>22</v>
      </c>
      <c r="K351" s="6"/>
      <c r="L351" s="7">
        <v>45642</v>
      </c>
      <c r="M351" s="6" t="s">
        <v>1170</v>
      </c>
      <c r="N351" s="8" t="s">
        <v>1631</v>
      </c>
      <c r="O351" s="6">
        <f>HYPERLINK("https://docs.wto.org/imrd/directdoc.asp?DDFDocuments/t/G/TBTN16/USA1088R3.DOCX", "https://docs.wto.org/imrd/directdoc.asp?DDFDocuments/t/G/TBTN16/USA1088R3.DOCX")</f>
      </c>
      <c r="P351" s="6">
        <f>HYPERLINK("https://docs.wto.org/imrd/directdoc.asp?DDFDocuments/u/G/TBTN16/USA1088R3.DOCX", "https://docs.wto.org/imrd/directdoc.asp?DDFDocuments/u/G/TBTN16/USA1088R3.DOCX")</f>
      </c>
      <c r="Q351" s="6">
        <f>HYPERLINK("https://docs.wto.org/imrd/directdoc.asp?DDFDocuments/v/G/TBTN16/USA1088R3.DOCX", "https://docs.wto.org/imrd/directdoc.asp?DDFDocuments/v/G/TBTN16/USA1088R3.DOCX")</f>
      </c>
    </row>
    <row r="352">
      <c r="A352" s="6" t="s">
        <v>472</v>
      </c>
      <c r="B352" s="7">
        <v>45631</v>
      </c>
      <c r="C352" s="9">
        <f>HYPERLINK("https://eping.wto.org/en/Search?viewData= G/TBT/N/JPN/813/Add.1"," G/TBT/N/JPN/813/Add.1")</f>
      </c>
      <c r="D352" s="8" t="s">
        <v>1632</v>
      </c>
      <c r="E352" s="8" t="s">
        <v>1633</v>
      </c>
      <c r="F352" s="8" t="s">
        <v>1634</v>
      </c>
      <c r="G352" s="8" t="s">
        <v>22</v>
      </c>
      <c r="H352" s="8" t="s">
        <v>1635</v>
      </c>
      <c r="I352" s="8" t="s">
        <v>304</v>
      </c>
      <c r="J352" s="8" t="s">
        <v>22</v>
      </c>
      <c r="K352" s="6"/>
      <c r="L352" s="7" t="s">
        <v>22</v>
      </c>
      <c r="M352" s="6" t="s">
        <v>40</v>
      </c>
      <c r="N352" s="8" t="s">
        <v>1636</v>
      </c>
      <c r="O352" s="6">
        <f>HYPERLINK("https://docs.wto.org/imrd/directdoc.asp?DDFDocuments/t/G/TBTN24/JPN813A1.DOCX", "https://docs.wto.org/imrd/directdoc.asp?DDFDocuments/t/G/TBTN24/JPN813A1.DOCX")</f>
      </c>
      <c r="P352" s="6">
        <f>HYPERLINK("https://docs.wto.org/imrd/directdoc.asp?DDFDocuments/u/G/TBTN24/JPN813A1.DOCX", "https://docs.wto.org/imrd/directdoc.asp?DDFDocuments/u/G/TBTN24/JPN813A1.DOCX")</f>
      </c>
      <c r="Q352" s="6">
        <f>HYPERLINK("https://docs.wto.org/imrd/directdoc.asp?DDFDocuments/v/G/TBTN24/JPN813A1.DOCX", "https://docs.wto.org/imrd/directdoc.asp?DDFDocuments/v/G/TBTN24/JPN813A1.DOCX")</f>
      </c>
    </row>
    <row r="353">
      <c r="A353" s="6" t="s">
        <v>496</v>
      </c>
      <c r="B353" s="7">
        <v>45631</v>
      </c>
      <c r="C353" s="9">
        <f>HYPERLINK("https://eping.wto.org/en/Search?viewData= G/SPS/N/GBR/75"," G/SPS/N/GBR/75")</f>
      </c>
      <c r="D353" s="8" t="s">
        <v>1637</v>
      </c>
      <c r="E353" s="8" t="s">
        <v>1638</v>
      </c>
      <c r="F353" s="8" t="s">
        <v>1639</v>
      </c>
      <c r="G353" s="8" t="s">
        <v>22</v>
      </c>
      <c r="H353" s="8" t="s">
        <v>22</v>
      </c>
      <c r="I353" s="8" t="s">
        <v>120</v>
      </c>
      <c r="J353" s="8" t="s">
        <v>121</v>
      </c>
      <c r="K353" s="6" t="s">
        <v>22</v>
      </c>
      <c r="L353" s="7" t="s">
        <v>22</v>
      </c>
      <c r="M353" s="6" t="s">
        <v>32</v>
      </c>
      <c r="N353" s="8" t="s">
        <v>1640</v>
      </c>
      <c r="O353" s="6">
        <f>HYPERLINK("https://docs.wto.org/imrd/directdoc.asp?DDFDocuments/t/G/SPS/NGBR75.DOCX", "https://docs.wto.org/imrd/directdoc.asp?DDFDocuments/t/G/SPS/NGBR75.DOCX")</f>
      </c>
      <c r="P353" s="6">
        <f>HYPERLINK("https://docs.wto.org/imrd/directdoc.asp?DDFDocuments/u/G/SPS/NGBR75.DOCX", "https://docs.wto.org/imrd/directdoc.asp?DDFDocuments/u/G/SPS/NGBR75.DOCX")</f>
      </c>
      <c r="Q353" s="6">
        <f>HYPERLINK("https://docs.wto.org/imrd/directdoc.asp?DDFDocuments/v/G/SPS/NGBR75.DOCX", "https://docs.wto.org/imrd/directdoc.asp?DDFDocuments/v/G/SPS/NGBR75.DOCX")</f>
      </c>
    </row>
    <row r="354">
      <c r="A354" s="6" t="s">
        <v>418</v>
      </c>
      <c r="B354" s="7">
        <v>45631</v>
      </c>
      <c r="C354" s="9">
        <f>HYPERLINK("https://eping.wto.org/en/Search?viewData= G/SPS/N/EU/801"," G/SPS/N/EU/801")</f>
      </c>
      <c r="D354" s="8" t="s">
        <v>1641</v>
      </c>
      <c r="E354" s="8" t="s">
        <v>1642</v>
      </c>
      <c r="F354" s="8" t="s">
        <v>1643</v>
      </c>
      <c r="G354" s="8" t="s">
        <v>1644</v>
      </c>
      <c r="H354" s="8" t="s">
        <v>22</v>
      </c>
      <c r="I354" s="8" t="s">
        <v>120</v>
      </c>
      <c r="J354" s="8" t="s">
        <v>121</v>
      </c>
      <c r="K354" s="6"/>
      <c r="L354" s="7">
        <v>45691</v>
      </c>
      <c r="M354" s="6" t="s">
        <v>32</v>
      </c>
      <c r="N354" s="8" t="s">
        <v>1645</v>
      </c>
      <c r="O354" s="6">
        <f>HYPERLINK("https://docs.wto.org/imrd/directdoc.asp?DDFDocuments/t/G/SPS/NEU801.DOCX", "https://docs.wto.org/imrd/directdoc.asp?DDFDocuments/t/G/SPS/NEU801.DOCX")</f>
      </c>
      <c r="P354" s="6">
        <f>HYPERLINK("https://docs.wto.org/imrd/directdoc.asp?DDFDocuments/u/G/SPS/NEU801.DOCX", "https://docs.wto.org/imrd/directdoc.asp?DDFDocuments/u/G/SPS/NEU801.DOCX")</f>
      </c>
      <c r="Q354" s="6">
        <f>HYPERLINK("https://docs.wto.org/imrd/directdoc.asp?DDFDocuments/v/G/SPS/NEU801.DOCX", "https://docs.wto.org/imrd/directdoc.asp?DDFDocuments/v/G/SPS/NEU801.DOCX")</f>
      </c>
    </row>
    <row r="355">
      <c r="A355" s="6" t="s">
        <v>299</v>
      </c>
      <c r="B355" s="7">
        <v>45631</v>
      </c>
      <c r="C355" s="9">
        <f>HYPERLINK("https://eping.wto.org/en/Search?viewData= G/TBT/N/NZL/143"," G/TBT/N/NZL/143")</f>
      </c>
      <c r="D355" s="8" t="s">
        <v>1646</v>
      </c>
      <c r="E355" s="8" t="s">
        <v>1647</v>
      </c>
      <c r="F355" s="8" t="s">
        <v>1648</v>
      </c>
      <c r="G355" s="8" t="s">
        <v>1649</v>
      </c>
      <c r="H355" s="8" t="s">
        <v>1650</v>
      </c>
      <c r="I355" s="8" t="s">
        <v>138</v>
      </c>
      <c r="J355" s="8" t="s">
        <v>22</v>
      </c>
      <c r="K355" s="6"/>
      <c r="L355" s="7">
        <v>45720</v>
      </c>
      <c r="M355" s="6" t="s">
        <v>32</v>
      </c>
      <c r="N355" s="6"/>
      <c r="O355" s="6">
        <f>HYPERLINK("https://docs.wto.org/imrd/directdoc.asp?DDFDocuments/t/G/TBTN24/NZL143.DOCX", "https://docs.wto.org/imrd/directdoc.asp?DDFDocuments/t/G/TBTN24/NZL143.DOCX")</f>
      </c>
      <c r="P355" s="6">
        <f>HYPERLINK("https://docs.wto.org/imrd/directdoc.asp?DDFDocuments/u/G/TBTN24/NZL143.DOCX", "https://docs.wto.org/imrd/directdoc.asp?DDFDocuments/u/G/TBTN24/NZL143.DOCX")</f>
      </c>
      <c r="Q355" s="6">
        <f>HYPERLINK("https://docs.wto.org/imrd/directdoc.asp?DDFDocuments/v/G/TBTN24/NZL143.DOCX", "https://docs.wto.org/imrd/directdoc.asp?DDFDocuments/v/G/TBTN24/NZL143.DOCX")</f>
      </c>
    </row>
    <row r="356">
      <c r="A356" s="6" t="s">
        <v>583</v>
      </c>
      <c r="B356" s="7">
        <v>45631</v>
      </c>
      <c r="C356" s="9">
        <f>HYPERLINK("https://eping.wto.org/en/Search?viewData= G/TBT/N/EGY/3/Add.85"," G/TBT/N/EGY/3/Add.85")</f>
      </c>
      <c r="D356" s="8" t="s">
        <v>1651</v>
      </c>
      <c r="E356" s="8" t="s">
        <v>1652</v>
      </c>
      <c r="F356" s="8" t="s">
        <v>754</v>
      </c>
      <c r="G356" s="8" t="s">
        <v>22</v>
      </c>
      <c r="H356" s="8" t="s">
        <v>1653</v>
      </c>
      <c r="I356" s="8" t="s">
        <v>22</v>
      </c>
      <c r="J356" s="8" t="s">
        <v>22</v>
      </c>
      <c r="K356" s="6"/>
      <c r="L356" s="7" t="s">
        <v>22</v>
      </c>
      <c r="M356" s="6" t="s">
        <v>40</v>
      </c>
      <c r="N356" s="6"/>
      <c r="O356" s="6">
        <f>HYPERLINK("https://docs.wto.org/imrd/directdoc.asp?DDFDocuments/t/G/TBTN05/EGY3A85.DOCX", "https://docs.wto.org/imrd/directdoc.asp?DDFDocuments/t/G/TBTN05/EGY3A85.DOCX")</f>
      </c>
      <c r="P356" s="6">
        <f>HYPERLINK("https://docs.wto.org/imrd/directdoc.asp?DDFDocuments/u/G/TBTN05/EGY3A85.DOCX", "https://docs.wto.org/imrd/directdoc.asp?DDFDocuments/u/G/TBTN05/EGY3A85.DOCX")</f>
      </c>
      <c r="Q356" s="6">
        <f>HYPERLINK("https://docs.wto.org/imrd/directdoc.asp?DDFDocuments/v/G/TBTN05/EGY3A85.DOCX", "https://docs.wto.org/imrd/directdoc.asp?DDFDocuments/v/G/TBTN05/EGY3A85.DOCX")</f>
      </c>
    </row>
    <row r="357">
      <c r="A357" s="6" t="s">
        <v>472</v>
      </c>
      <c r="B357" s="7">
        <v>45631</v>
      </c>
      <c r="C357" s="9">
        <f>HYPERLINK("https://eping.wto.org/en/Search?viewData= G/TBT/N/JPN/821/Add.1"," G/TBT/N/JPN/821/Add.1")</f>
      </c>
      <c r="D357" s="8" t="s">
        <v>1654</v>
      </c>
      <c r="E357" s="8" t="s">
        <v>1655</v>
      </c>
      <c r="F357" s="8" t="s">
        <v>1656</v>
      </c>
      <c r="G357" s="8" t="s">
        <v>22</v>
      </c>
      <c r="H357" s="8" t="s">
        <v>1635</v>
      </c>
      <c r="I357" s="8" t="s">
        <v>304</v>
      </c>
      <c r="J357" s="8" t="s">
        <v>22</v>
      </c>
      <c r="K357" s="6"/>
      <c r="L357" s="7" t="s">
        <v>22</v>
      </c>
      <c r="M357" s="6" t="s">
        <v>40</v>
      </c>
      <c r="N357" s="8" t="s">
        <v>1657</v>
      </c>
      <c r="O357" s="6">
        <f>HYPERLINK("https://docs.wto.org/imrd/directdoc.asp?DDFDocuments/t/G/TBTN24/JPN821A1.DOCX", "https://docs.wto.org/imrd/directdoc.asp?DDFDocuments/t/G/TBTN24/JPN821A1.DOCX")</f>
      </c>
      <c r="P357" s="6">
        <f>HYPERLINK("https://docs.wto.org/imrd/directdoc.asp?DDFDocuments/u/G/TBTN24/JPN821A1.DOCX", "https://docs.wto.org/imrd/directdoc.asp?DDFDocuments/u/G/TBTN24/JPN821A1.DOCX")</f>
      </c>
      <c r="Q357" s="6">
        <f>HYPERLINK("https://docs.wto.org/imrd/directdoc.asp?DDFDocuments/v/G/TBTN24/JPN821A1.DOCX", "https://docs.wto.org/imrd/directdoc.asp?DDFDocuments/v/G/TBTN24/JPN821A1.DOCX")</f>
      </c>
    </row>
    <row r="358">
      <c r="A358" s="6" t="s">
        <v>513</v>
      </c>
      <c r="B358" s="7">
        <v>45631</v>
      </c>
      <c r="C358" s="9">
        <f>HYPERLINK("https://eping.wto.org/en/Search?viewData= G/SPS/N/IND/323"," G/SPS/N/IND/323")</f>
      </c>
      <c r="D358" s="8" t="s">
        <v>1658</v>
      </c>
      <c r="E358" s="8" t="s">
        <v>1659</v>
      </c>
      <c r="F358" s="8" t="s">
        <v>1660</v>
      </c>
      <c r="G358" s="8" t="s">
        <v>1661</v>
      </c>
      <c r="H358" s="8" t="s">
        <v>22</v>
      </c>
      <c r="I358" s="8" t="s">
        <v>518</v>
      </c>
      <c r="J358" s="8" t="s">
        <v>391</v>
      </c>
      <c r="K358" s="6" t="s">
        <v>333</v>
      </c>
      <c r="L358" s="7">
        <v>45691</v>
      </c>
      <c r="M358" s="6" t="s">
        <v>32</v>
      </c>
      <c r="N358" s="8" t="s">
        <v>1662</v>
      </c>
      <c r="O358" s="6">
        <f>HYPERLINK("https://docs.wto.org/imrd/directdoc.asp?DDFDocuments/t/G/SPS/NIND323.DOCX", "https://docs.wto.org/imrd/directdoc.asp?DDFDocuments/t/G/SPS/NIND323.DOCX")</f>
      </c>
      <c r="P358" s="6">
        <f>HYPERLINK("https://docs.wto.org/imrd/directdoc.asp?DDFDocuments/u/G/SPS/NIND323.DOCX", "https://docs.wto.org/imrd/directdoc.asp?DDFDocuments/u/G/SPS/NIND323.DOCX")</f>
      </c>
      <c r="Q358" s="6">
        <f>HYPERLINK("https://docs.wto.org/imrd/directdoc.asp?DDFDocuments/v/G/SPS/NIND323.DOCX", "https://docs.wto.org/imrd/directdoc.asp?DDFDocuments/v/G/SPS/NIND323.DOCX")</f>
      </c>
    </row>
    <row r="359">
      <c r="A359" s="6" t="s">
        <v>418</v>
      </c>
      <c r="B359" s="7">
        <v>45631</v>
      </c>
      <c r="C359" s="9">
        <f>HYPERLINK("https://eping.wto.org/en/Search?viewData= G/SPS/N/EU/798/Add.1"," G/SPS/N/EU/798/Add.1")</f>
      </c>
      <c r="D359" s="8" t="s">
        <v>1663</v>
      </c>
      <c r="E359" s="8" t="s">
        <v>1664</v>
      </c>
      <c r="F359" s="8" t="s">
        <v>1665</v>
      </c>
      <c r="G359" s="8" t="s">
        <v>686</v>
      </c>
      <c r="H359" s="8" t="s">
        <v>22</v>
      </c>
      <c r="I359" s="8" t="s">
        <v>128</v>
      </c>
      <c r="J359" s="8" t="s">
        <v>1666</v>
      </c>
      <c r="K359" s="6"/>
      <c r="L359" s="7" t="s">
        <v>22</v>
      </c>
      <c r="M359" s="6" t="s">
        <v>40</v>
      </c>
      <c r="N359" s="8" t="s">
        <v>1667</v>
      </c>
      <c r="O359" s="6">
        <f>HYPERLINK("https://docs.wto.org/imrd/directdoc.asp?DDFDocuments/t/G/SPS/NEU798A1.DOCX", "https://docs.wto.org/imrd/directdoc.asp?DDFDocuments/t/G/SPS/NEU798A1.DOCX")</f>
      </c>
      <c r="P359" s="6">
        <f>HYPERLINK("https://docs.wto.org/imrd/directdoc.asp?DDFDocuments/u/G/SPS/NEU798A1.DOCX", "https://docs.wto.org/imrd/directdoc.asp?DDFDocuments/u/G/SPS/NEU798A1.DOCX")</f>
      </c>
      <c r="Q359" s="6">
        <f>HYPERLINK("https://docs.wto.org/imrd/directdoc.asp?DDFDocuments/v/G/SPS/NEU798A1.DOCX", "https://docs.wto.org/imrd/directdoc.asp?DDFDocuments/v/G/SPS/NEU798A1.DOCX")</f>
      </c>
    </row>
    <row r="360">
      <c r="A360" s="6" t="s">
        <v>472</v>
      </c>
      <c r="B360" s="7">
        <v>45631</v>
      </c>
      <c r="C360" s="9">
        <f>HYPERLINK("https://eping.wto.org/en/Search?viewData= G/TBT/N/JPN/823/Add.1"," G/TBT/N/JPN/823/Add.1")</f>
      </c>
      <c r="D360" s="8" t="s">
        <v>1668</v>
      </c>
      <c r="E360" s="8" t="s">
        <v>1669</v>
      </c>
      <c r="F360" s="8" t="s">
        <v>1670</v>
      </c>
      <c r="G360" s="8" t="s">
        <v>22</v>
      </c>
      <c r="H360" s="8" t="s">
        <v>1671</v>
      </c>
      <c r="I360" s="8" t="s">
        <v>304</v>
      </c>
      <c r="J360" s="8" t="s">
        <v>22</v>
      </c>
      <c r="K360" s="6"/>
      <c r="L360" s="7" t="s">
        <v>22</v>
      </c>
      <c r="M360" s="6" t="s">
        <v>40</v>
      </c>
      <c r="N360" s="8" t="s">
        <v>1672</v>
      </c>
      <c r="O360" s="6">
        <f>HYPERLINK("https://docs.wto.org/imrd/directdoc.asp?DDFDocuments/t/G/TBTN24/JPN823A1.DOCX", "https://docs.wto.org/imrd/directdoc.asp?DDFDocuments/t/G/TBTN24/JPN823A1.DOCX")</f>
      </c>
      <c r="P360" s="6">
        <f>HYPERLINK("https://docs.wto.org/imrd/directdoc.asp?DDFDocuments/u/G/TBTN24/JPN823A1.DOCX", "https://docs.wto.org/imrd/directdoc.asp?DDFDocuments/u/G/TBTN24/JPN823A1.DOCX")</f>
      </c>
      <c r="Q360" s="6">
        <f>HYPERLINK("https://docs.wto.org/imrd/directdoc.asp?DDFDocuments/v/G/TBTN24/JPN823A1.DOCX", "https://docs.wto.org/imrd/directdoc.asp?DDFDocuments/v/G/TBTN24/JPN823A1.DOCX")</f>
      </c>
    </row>
    <row r="361">
      <c r="A361" s="6" t="s">
        <v>17</v>
      </c>
      <c r="B361" s="7">
        <v>45631</v>
      </c>
      <c r="C361" s="9">
        <f>HYPERLINK("https://eping.wto.org/en/Search?viewData= G/SPS/N/KOR/622/Add.6"," G/SPS/N/KOR/622/Add.6")</f>
      </c>
      <c r="D361" s="8" t="s">
        <v>1673</v>
      </c>
      <c r="E361" s="8" t="s">
        <v>1674</v>
      </c>
      <c r="F361" s="8" t="s">
        <v>1675</v>
      </c>
      <c r="G361" s="8" t="s">
        <v>22</v>
      </c>
      <c r="H361" s="8" t="s">
        <v>22</v>
      </c>
      <c r="I361" s="8" t="s">
        <v>128</v>
      </c>
      <c r="J361" s="8" t="s">
        <v>1676</v>
      </c>
      <c r="K361" s="6"/>
      <c r="L361" s="7" t="s">
        <v>22</v>
      </c>
      <c r="M361" s="6" t="s">
        <v>40</v>
      </c>
      <c r="N361" s="8" t="s">
        <v>1677</v>
      </c>
      <c r="O361" s="6">
        <f>HYPERLINK("https://docs.wto.org/imrd/directdoc.asp?DDFDocuments/t/G/SPS/NKOR622A6.DOCX", "https://docs.wto.org/imrd/directdoc.asp?DDFDocuments/t/G/SPS/NKOR622A6.DOCX")</f>
      </c>
      <c r="P361" s="6">
        <f>HYPERLINK("https://docs.wto.org/imrd/directdoc.asp?DDFDocuments/u/G/SPS/NKOR622A6.DOCX", "https://docs.wto.org/imrd/directdoc.asp?DDFDocuments/u/G/SPS/NKOR622A6.DOCX")</f>
      </c>
      <c r="Q361" s="6">
        <f>HYPERLINK("https://docs.wto.org/imrd/directdoc.asp?DDFDocuments/v/G/SPS/NKOR622A6.DOCX", "https://docs.wto.org/imrd/directdoc.asp?DDFDocuments/v/G/SPS/NKOR622A6.DOCX")</f>
      </c>
    </row>
    <row r="362">
      <c r="A362" s="6" t="s">
        <v>646</v>
      </c>
      <c r="B362" s="7">
        <v>45631</v>
      </c>
      <c r="C362" s="9">
        <f>HYPERLINK("https://eping.wto.org/en/Search?viewData= G/SPS/N/COL/372"," G/SPS/N/COL/372")</f>
      </c>
      <c r="D362" s="8" t="s">
        <v>1678</v>
      </c>
      <c r="E362" s="8" t="s">
        <v>1679</v>
      </c>
      <c r="F362" s="8" t="s">
        <v>1680</v>
      </c>
      <c r="G362" s="8" t="s">
        <v>1681</v>
      </c>
      <c r="H362" s="8" t="s">
        <v>22</v>
      </c>
      <c r="I362" s="8" t="s">
        <v>348</v>
      </c>
      <c r="J362" s="8" t="s">
        <v>1682</v>
      </c>
      <c r="K362" s="6" t="s">
        <v>22</v>
      </c>
      <c r="L362" s="7" t="s">
        <v>22</v>
      </c>
      <c r="M362" s="6" t="s">
        <v>331</v>
      </c>
      <c r="N362" s="8" t="s">
        <v>1683</v>
      </c>
      <c r="O362" s="6">
        <f>HYPERLINK("https://docs.wto.org/imrd/directdoc.asp?DDFDocuments/t/G/SPS/NCOL372.DOCX", "https://docs.wto.org/imrd/directdoc.asp?DDFDocuments/t/G/SPS/NCOL372.DOCX")</f>
      </c>
      <c r="P362" s="6">
        <f>HYPERLINK("https://docs.wto.org/imrd/directdoc.asp?DDFDocuments/u/G/SPS/NCOL372.DOCX", "https://docs.wto.org/imrd/directdoc.asp?DDFDocuments/u/G/SPS/NCOL372.DOCX")</f>
      </c>
      <c r="Q362" s="6">
        <f>HYPERLINK("https://docs.wto.org/imrd/directdoc.asp?DDFDocuments/v/G/SPS/NCOL372.DOCX", "https://docs.wto.org/imrd/directdoc.asp?DDFDocuments/v/G/SPS/NCOL372.DOCX")</f>
      </c>
    </row>
    <row r="363">
      <c r="A363" s="6" t="s">
        <v>400</v>
      </c>
      <c r="B363" s="7">
        <v>45631</v>
      </c>
      <c r="C363" s="9">
        <f>HYPERLINK("https://eping.wto.org/en/Search?viewData= G/TBT/N/USA/882/Add.4/Corr.1"," G/TBT/N/USA/882/Add.4/Corr.1")</f>
      </c>
      <c r="D363" s="8" t="s">
        <v>1684</v>
      </c>
      <c r="E363" s="8" t="s">
        <v>1685</v>
      </c>
      <c r="F363" s="8" t="s">
        <v>1686</v>
      </c>
      <c r="G363" s="8" t="s">
        <v>22</v>
      </c>
      <c r="H363" s="8" t="s">
        <v>1687</v>
      </c>
      <c r="I363" s="8" t="s">
        <v>823</v>
      </c>
      <c r="J363" s="8" t="s">
        <v>22</v>
      </c>
      <c r="K363" s="6"/>
      <c r="L363" s="7" t="s">
        <v>22</v>
      </c>
      <c r="M363" s="6" t="s">
        <v>248</v>
      </c>
      <c r="N363" s="8" t="s">
        <v>1688</v>
      </c>
      <c r="O363" s="6">
        <f>HYPERLINK("https://docs.wto.org/imrd/directdoc.asp?DDFDocuments/t/G/TBTN14/USA882A4C1.DOCX", "https://docs.wto.org/imrd/directdoc.asp?DDFDocuments/t/G/TBTN14/USA882A4C1.DOCX")</f>
      </c>
      <c r="P363" s="6">
        <f>HYPERLINK("https://docs.wto.org/imrd/directdoc.asp?DDFDocuments/u/G/TBTN14/USA882A4C1.DOCX", "https://docs.wto.org/imrd/directdoc.asp?DDFDocuments/u/G/TBTN14/USA882A4C1.DOCX")</f>
      </c>
      <c r="Q363" s="6">
        <f>HYPERLINK("https://docs.wto.org/imrd/directdoc.asp?DDFDocuments/v/G/TBTN14/USA882A4C1.DOCX", "https://docs.wto.org/imrd/directdoc.asp?DDFDocuments/v/G/TBTN14/USA882A4C1.DOCX")</f>
      </c>
    </row>
    <row r="364">
      <c r="A364" s="6" t="s">
        <v>732</v>
      </c>
      <c r="B364" s="7">
        <v>45630</v>
      </c>
      <c r="C364" s="9">
        <f>HYPERLINK("https://eping.wto.org/en/Search?viewData= G/SPS/N/MEX/434/Add.1"," G/SPS/N/MEX/434/Add.1")</f>
      </c>
      <c r="D364" s="8" t="s">
        <v>1689</v>
      </c>
      <c r="E364" s="8" t="s">
        <v>1689</v>
      </c>
      <c r="F364" s="8" t="s">
        <v>1690</v>
      </c>
      <c r="G364" s="8" t="s">
        <v>1691</v>
      </c>
      <c r="H364" s="8" t="s">
        <v>22</v>
      </c>
      <c r="I364" s="8" t="s">
        <v>1692</v>
      </c>
      <c r="J364" s="8" t="s">
        <v>1693</v>
      </c>
      <c r="K364" s="6"/>
      <c r="L364" s="7" t="s">
        <v>22</v>
      </c>
      <c r="M364" s="6" t="s">
        <v>40</v>
      </c>
      <c r="N364" s="8" t="s">
        <v>1694</v>
      </c>
      <c r="O364" s="6">
        <f>HYPERLINK("https://docs.wto.org/imrd/directdoc.asp?DDFDocuments/t/G/SPS/NMEX434A1.DOCX", "https://docs.wto.org/imrd/directdoc.asp?DDFDocuments/t/G/SPS/NMEX434A1.DOCX")</f>
      </c>
      <c r="P364" s="6">
        <f>HYPERLINK("https://docs.wto.org/imrd/directdoc.asp?DDFDocuments/u/G/SPS/NMEX434A1.DOCX", "https://docs.wto.org/imrd/directdoc.asp?DDFDocuments/u/G/SPS/NMEX434A1.DOCX")</f>
      </c>
      <c r="Q364" s="6">
        <f>HYPERLINK("https://docs.wto.org/imrd/directdoc.asp?DDFDocuments/v/G/SPS/NMEX434A1.DOCX", "https://docs.wto.org/imrd/directdoc.asp?DDFDocuments/v/G/SPS/NMEX434A1.DOCX")</f>
      </c>
    </row>
    <row r="365">
      <c r="A365" s="6" t="s">
        <v>400</v>
      </c>
      <c r="B365" s="7">
        <v>45630</v>
      </c>
      <c r="C365" s="9">
        <f>HYPERLINK("https://eping.wto.org/en/Search?viewData= G/TBT/N/USA/2088/Add.6"," G/TBT/N/USA/2088/Add.6")</f>
      </c>
      <c r="D365" s="8" t="s">
        <v>1695</v>
      </c>
      <c r="E365" s="8" t="s">
        <v>1696</v>
      </c>
      <c r="F365" s="8" t="s">
        <v>1697</v>
      </c>
      <c r="G365" s="8" t="s">
        <v>22</v>
      </c>
      <c r="H365" s="8" t="s">
        <v>1698</v>
      </c>
      <c r="I365" s="8" t="s">
        <v>405</v>
      </c>
      <c r="J365" s="8" t="s">
        <v>22</v>
      </c>
      <c r="K365" s="6"/>
      <c r="L365" s="7">
        <v>45643</v>
      </c>
      <c r="M365" s="6" t="s">
        <v>40</v>
      </c>
      <c r="N365" s="8" t="s">
        <v>1699</v>
      </c>
      <c r="O365" s="6">
        <f>HYPERLINK("https://docs.wto.org/imrd/directdoc.asp?DDFDocuments/t/G/TBTN24/USA2088A6.DOCX", "https://docs.wto.org/imrd/directdoc.asp?DDFDocuments/t/G/TBTN24/USA2088A6.DOCX")</f>
      </c>
      <c r="P365" s="6">
        <f>HYPERLINK("https://docs.wto.org/imrd/directdoc.asp?DDFDocuments/u/G/TBTN24/USA2088A6.DOCX", "https://docs.wto.org/imrd/directdoc.asp?DDFDocuments/u/G/TBTN24/USA2088A6.DOCX")</f>
      </c>
      <c r="Q365" s="6">
        <f>HYPERLINK("https://docs.wto.org/imrd/directdoc.asp?DDFDocuments/v/G/TBTN24/USA2088A6.DOCX", "https://docs.wto.org/imrd/directdoc.asp?DDFDocuments/v/G/TBTN24/USA2088A6.DOCX")</f>
      </c>
    </row>
    <row r="366">
      <c r="A366" s="6" t="s">
        <v>583</v>
      </c>
      <c r="B366" s="7">
        <v>45630</v>
      </c>
      <c r="C366" s="9">
        <f>HYPERLINK("https://eping.wto.org/en/Search?viewData= G/TBT/N/EGY/493"," G/TBT/N/EGY/493")</f>
      </c>
      <c r="D366" s="8" t="s">
        <v>1700</v>
      </c>
      <c r="E366" s="8" t="s">
        <v>1701</v>
      </c>
      <c r="F366" s="8" t="s">
        <v>1702</v>
      </c>
      <c r="G366" s="8" t="s">
        <v>22</v>
      </c>
      <c r="H366" s="8" t="s">
        <v>1703</v>
      </c>
      <c r="I366" s="8" t="s">
        <v>805</v>
      </c>
      <c r="J366" s="8" t="s">
        <v>22</v>
      </c>
      <c r="K366" s="6"/>
      <c r="L366" s="7">
        <v>45690</v>
      </c>
      <c r="M366" s="6" t="s">
        <v>32</v>
      </c>
      <c r="N366" s="6"/>
      <c r="O366" s="6">
        <f>HYPERLINK("https://docs.wto.org/imrd/directdoc.asp?DDFDocuments/t/G/TBTN24/EGY493.DOCX", "https://docs.wto.org/imrd/directdoc.asp?DDFDocuments/t/G/TBTN24/EGY493.DOCX")</f>
      </c>
      <c r="P366" s="6">
        <f>HYPERLINK("https://docs.wto.org/imrd/directdoc.asp?DDFDocuments/u/G/TBTN24/EGY493.DOCX", "https://docs.wto.org/imrd/directdoc.asp?DDFDocuments/u/G/TBTN24/EGY493.DOCX")</f>
      </c>
      <c r="Q366" s="6">
        <f>HYPERLINK("https://docs.wto.org/imrd/directdoc.asp?DDFDocuments/v/G/TBTN24/EGY493.DOCX", "https://docs.wto.org/imrd/directdoc.asp?DDFDocuments/v/G/TBTN24/EGY493.DOCX")</f>
      </c>
    </row>
    <row r="367">
      <c r="A367" s="6" t="s">
        <v>400</v>
      </c>
      <c r="B367" s="7">
        <v>45630</v>
      </c>
      <c r="C367" s="9">
        <f>HYPERLINK("https://eping.wto.org/en/Search?viewData= G/SPS/N/USA/3493"," G/SPS/N/USA/3493")</f>
      </c>
      <c r="D367" s="8" t="s">
        <v>1704</v>
      </c>
      <c r="E367" s="8" t="s">
        <v>1705</v>
      </c>
      <c r="F367" s="8" t="s">
        <v>1706</v>
      </c>
      <c r="G367" s="8" t="s">
        <v>22</v>
      </c>
      <c r="H367" s="8" t="s">
        <v>22</v>
      </c>
      <c r="I367" s="8" t="s">
        <v>120</v>
      </c>
      <c r="J367" s="8" t="s">
        <v>416</v>
      </c>
      <c r="K367" s="6" t="s">
        <v>22</v>
      </c>
      <c r="L367" s="7">
        <v>45659</v>
      </c>
      <c r="M367" s="6" t="s">
        <v>32</v>
      </c>
      <c r="N367" s="8" t="s">
        <v>1707</v>
      </c>
      <c r="O367" s="6">
        <f>HYPERLINK("https://docs.wto.org/imrd/directdoc.asp?DDFDocuments/t/G/SPS/NUSA3493.DOCX", "https://docs.wto.org/imrd/directdoc.asp?DDFDocuments/t/G/SPS/NUSA3493.DOCX")</f>
      </c>
      <c r="P367" s="6">
        <f>HYPERLINK("https://docs.wto.org/imrd/directdoc.asp?DDFDocuments/u/G/SPS/NUSA3493.DOCX", "https://docs.wto.org/imrd/directdoc.asp?DDFDocuments/u/G/SPS/NUSA3493.DOCX")</f>
      </c>
      <c r="Q367" s="6">
        <f>HYPERLINK("https://docs.wto.org/imrd/directdoc.asp?DDFDocuments/v/G/SPS/NUSA3493.DOCX", "https://docs.wto.org/imrd/directdoc.asp?DDFDocuments/v/G/SPS/NUSA3493.DOCX")</f>
      </c>
    </row>
    <row r="368">
      <c r="A368" s="6" t="s">
        <v>343</v>
      </c>
      <c r="B368" s="7">
        <v>45630</v>
      </c>
      <c r="C368" s="9">
        <f>HYPERLINK("https://eping.wto.org/en/Search?viewData= G/SPS/N/THA/776"," G/SPS/N/THA/776")</f>
      </c>
      <c r="D368" s="8" t="s">
        <v>1708</v>
      </c>
      <c r="E368" s="8" t="s">
        <v>1709</v>
      </c>
      <c r="F368" s="8" t="s">
        <v>1710</v>
      </c>
      <c r="G368" s="8" t="s">
        <v>347</v>
      </c>
      <c r="H368" s="8" t="s">
        <v>22</v>
      </c>
      <c r="I368" s="8" t="s">
        <v>348</v>
      </c>
      <c r="J368" s="8" t="s">
        <v>1711</v>
      </c>
      <c r="K368" s="6" t="s">
        <v>1712</v>
      </c>
      <c r="L368" s="7" t="s">
        <v>22</v>
      </c>
      <c r="M368" s="6" t="s">
        <v>331</v>
      </c>
      <c r="N368" s="6"/>
      <c r="O368" s="6">
        <f>HYPERLINK("https://docs.wto.org/imrd/directdoc.asp?DDFDocuments/t/G/SPS/NTHA776.DOCX", "https://docs.wto.org/imrd/directdoc.asp?DDFDocuments/t/G/SPS/NTHA776.DOCX")</f>
      </c>
      <c r="P368" s="6">
        <f>HYPERLINK("https://docs.wto.org/imrd/directdoc.asp?DDFDocuments/u/G/SPS/NTHA776.DOCX", "https://docs.wto.org/imrd/directdoc.asp?DDFDocuments/u/G/SPS/NTHA776.DOCX")</f>
      </c>
      <c r="Q368" s="6">
        <f>HYPERLINK("https://docs.wto.org/imrd/directdoc.asp?DDFDocuments/v/G/SPS/NTHA776.DOCX", "https://docs.wto.org/imrd/directdoc.asp?DDFDocuments/v/G/SPS/NTHA776.DOCX")</f>
      </c>
    </row>
    <row r="369">
      <c r="A369" s="6" t="s">
        <v>583</v>
      </c>
      <c r="B369" s="7">
        <v>45630</v>
      </c>
      <c r="C369" s="9">
        <f>HYPERLINK("https://eping.wto.org/en/Search?viewData= G/TBT/N/EGY/492"," G/TBT/N/EGY/492")</f>
      </c>
      <c r="D369" s="8" t="s">
        <v>1713</v>
      </c>
      <c r="E369" s="8" t="s">
        <v>1714</v>
      </c>
      <c r="F369" s="8" t="s">
        <v>1715</v>
      </c>
      <c r="G369" s="8" t="s">
        <v>22</v>
      </c>
      <c r="H369" s="8" t="s">
        <v>1716</v>
      </c>
      <c r="I369" s="8" t="s">
        <v>641</v>
      </c>
      <c r="J369" s="8" t="s">
        <v>22</v>
      </c>
      <c r="K369" s="6"/>
      <c r="L369" s="7">
        <v>45690</v>
      </c>
      <c r="M369" s="6" t="s">
        <v>32</v>
      </c>
      <c r="N369" s="6"/>
      <c r="O369" s="6">
        <f>HYPERLINK("https://docs.wto.org/imrd/directdoc.asp?DDFDocuments/t/G/TBTN24/EGY492.DOCX", "https://docs.wto.org/imrd/directdoc.asp?DDFDocuments/t/G/TBTN24/EGY492.DOCX")</f>
      </c>
      <c r="P369" s="6">
        <f>HYPERLINK("https://docs.wto.org/imrd/directdoc.asp?DDFDocuments/u/G/TBTN24/EGY492.DOCX", "https://docs.wto.org/imrd/directdoc.asp?DDFDocuments/u/G/TBTN24/EGY492.DOCX")</f>
      </c>
      <c r="Q369" s="6">
        <f>HYPERLINK("https://docs.wto.org/imrd/directdoc.asp?DDFDocuments/v/G/TBTN24/EGY492.DOCX", "https://docs.wto.org/imrd/directdoc.asp?DDFDocuments/v/G/TBTN24/EGY492.DOCX")</f>
      </c>
    </row>
    <row r="370">
      <c r="A370" s="6" t="s">
        <v>343</v>
      </c>
      <c r="B370" s="7">
        <v>45630</v>
      </c>
      <c r="C370" s="9">
        <f>HYPERLINK("https://eping.wto.org/en/Search?viewData= G/TBT/N/THA/613/Rev.1"," G/TBT/N/THA/613/Rev.1")</f>
      </c>
      <c r="D370" s="8" t="s">
        <v>1717</v>
      </c>
      <c r="E370" s="8" t="s">
        <v>1718</v>
      </c>
      <c r="F370" s="8" t="s">
        <v>1719</v>
      </c>
      <c r="G370" s="8" t="s">
        <v>22</v>
      </c>
      <c r="H370" s="8" t="s">
        <v>1720</v>
      </c>
      <c r="I370" s="8" t="s">
        <v>823</v>
      </c>
      <c r="J370" s="8" t="s">
        <v>22</v>
      </c>
      <c r="K370" s="6"/>
      <c r="L370" s="7">
        <v>45645</v>
      </c>
      <c r="M370" s="6" t="s">
        <v>1170</v>
      </c>
      <c r="N370" s="8" t="s">
        <v>1721</v>
      </c>
      <c r="O370" s="6">
        <f>HYPERLINK("https://docs.wto.org/imrd/directdoc.asp?DDFDocuments/t/G/TBTN21/THA613R1.DOCX", "https://docs.wto.org/imrd/directdoc.asp?DDFDocuments/t/G/TBTN21/THA613R1.DOCX")</f>
      </c>
      <c r="P370" s="6">
        <f>HYPERLINK("https://docs.wto.org/imrd/directdoc.asp?DDFDocuments/u/G/TBTN21/THA613R1.DOCX", "https://docs.wto.org/imrd/directdoc.asp?DDFDocuments/u/G/TBTN21/THA613R1.DOCX")</f>
      </c>
      <c r="Q370" s="6">
        <f>HYPERLINK("https://docs.wto.org/imrd/directdoc.asp?DDFDocuments/v/G/TBTN21/THA613R1.DOCX", "https://docs.wto.org/imrd/directdoc.asp?DDFDocuments/v/G/TBTN21/THA613R1.DOCX")</f>
      </c>
    </row>
    <row r="371">
      <c r="A371" s="6" t="s">
        <v>418</v>
      </c>
      <c r="B371" s="7">
        <v>45630</v>
      </c>
      <c r="C371" s="9">
        <f>HYPERLINK("https://eping.wto.org/en/Search?viewData= G/TBT/N/EU/1101"," G/TBT/N/EU/1101")</f>
      </c>
      <c r="D371" s="8" t="s">
        <v>1722</v>
      </c>
      <c r="E371" s="8" t="s">
        <v>1723</v>
      </c>
      <c r="F371" s="8" t="s">
        <v>1724</v>
      </c>
      <c r="G371" s="8" t="s">
        <v>22</v>
      </c>
      <c r="H371" s="8" t="s">
        <v>1725</v>
      </c>
      <c r="I371" s="8" t="s">
        <v>292</v>
      </c>
      <c r="J371" s="8" t="s">
        <v>22</v>
      </c>
      <c r="K371" s="6"/>
      <c r="L371" s="7">
        <v>45690</v>
      </c>
      <c r="M371" s="6" t="s">
        <v>32</v>
      </c>
      <c r="N371" s="8" t="s">
        <v>1726</v>
      </c>
      <c r="O371" s="6">
        <f>HYPERLINK("https://docs.wto.org/imrd/directdoc.asp?DDFDocuments/t/G/TBTN24/EU1101.DOCX", "https://docs.wto.org/imrd/directdoc.asp?DDFDocuments/t/G/TBTN24/EU1101.DOCX")</f>
      </c>
      <c r="P371" s="6">
        <f>HYPERLINK("https://docs.wto.org/imrd/directdoc.asp?DDFDocuments/u/G/TBTN24/EU1101.DOCX", "https://docs.wto.org/imrd/directdoc.asp?DDFDocuments/u/G/TBTN24/EU1101.DOCX")</f>
      </c>
      <c r="Q371" s="6">
        <f>HYPERLINK("https://docs.wto.org/imrd/directdoc.asp?DDFDocuments/v/G/TBTN24/EU1101.DOCX", "https://docs.wto.org/imrd/directdoc.asp?DDFDocuments/v/G/TBTN24/EU1101.DOCX")</f>
      </c>
    </row>
    <row r="372">
      <c r="A372" s="6" t="s">
        <v>583</v>
      </c>
      <c r="B372" s="7">
        <v>45630</v>
      </c>
      <c r="C372" s="9">
        <f>HYPERLINK("https://eping.wto.org/en/Search?viewData= G/TBT/N/EGY/494"," G/TBT/N/EGY/494")</f>
      </c>
      <c r="D372" s="8" t="s">
        <v>1727</v>
      </c>
      <c r="E372" s="8" t="s">
        <v>1728</v>
      </c>
      <c r="F372" s="8" t="s">
        <v>1729</v>
      </c>
      <c r="G372" s="8" t="s">
        <v>22</v>
      </c>
      <c r="H372" s="8" t="s">
        <v>1730</v>
      </c>
      <c r="I372" s="8" t="s">
        <v>641</v>
      </c>
      <c r="J372" s="8" t="s">
        <v>22</v>
      </c>
      <c r="K372" s="6"/>
      <c r="L372" s="7">
        <v>45690</v>
      </c>
      <c r="M372" s="6" t="s">
        <v>32</v>
      </c>
      <c r="N372" s="6"/>
      <c r="O372" s="6">
        <f>HYPERLINK("https://docs.wto.org/imrd/directdoc.asp?DDFDocuments/t/G/TBTN24/EGY494.DOCX", "https://docs.wto.org/imrd/directdoc.asp?DDFDocuments/t/G/TBTN24/EGY494.DOCX")</f>
      </c>
      <c r="P372" s="6">
        <f>HYPERLINK("https://docs.wto.org/imrd/directdoc.asp?DDFDocuments/u/G/TBTN24/EGY494.DOCX", "https://docs.wto.org/imrd/directdoc.asp?DDFDocuments/u/G/TBTN24/EGY494.DOCX")</f>
      </c>
      <c r="Q372" s="6">
        <f>HYPERLINK("https://docs.wto.org/imrd/directdoc.asp?DDFDocuments/v/G/TBTN24/EGY494.DOCX", "https://docs.wto.org/imrd/directdoc.asp?DDFDocuments/v/G/TBTN24/EGY494.DOCX")</f>
      </c>
    </row>
    <row r="373">
      <c r="A373" s="6" t="s">
        <v>400</v>
      </c>
      <c r="B373" s="7">
        <v>45630</v>
      </c>
      <c r="C373" s="9">
        <f>HYPERLINK("https://eping.wto.org/en/Search?viewData= G/TBT/N/USA/2165"," G/TBT/N/USA/2165")</f>
      </c>
      <c r="D373" s="8" t="s">
        <v>1731</v>
      </c>
      <c r="E373" s="8" t="s">
        <v>1732</v>
      </c>
      <c r="F373" s="8" t="s">
        <v>1733</v>
      </c>
      <c r="G373" s="8" t="s">
        <v>1734</v>
      </c>
      <c r="H373" s="8" t="s">
        <v>1735</v>
      </c>
      <c r="I373" s="8" t="s">
        <v>292</v>
      </c>
      <c r="J373" s="8" t="s">
        <v>139</v>
      </c>
      <c r="K373" s="6"/>
      <c r="L373" s="7" t="s">
        <v>22</v>
      </c>
      <c r="M373" s="6" t="s">
        <v>32</v>
      </c>
      <c r="N373" s="8" t="s">
        <v>1736</v>
      </c>
      <c r="O373" s="6">
        <f>HYPERLINK("https://docs.wto.org/imrd/directdoc.asp?DDFDocuments/t/G/TBTN24/USA2165.DOCX", "https://docs.wto.org/imrd/directdoc.asp?DDFDocuments/t/G/TBTN24/USA2165.DOCX")</f>
      </c>
      <c r="P373" s="6">
        <f>HYPERLINK("https://docs.wto.org/imrd/directdoc.asp?DDFDocuments/u/G/TBTN24/USA2165.DOCX", "https://docs.wto.org/imrd/directdoc.asp?DDFDocuments/u/G/TBTN24/USA2165.DOCX")</f>
      </c>
      <c r="Q373" s="6">
        <f>HYPERLINK("https://docs.wto.org/imrd/directdoc.asp?DDFDocuments/v/G/TBTN24/USA2165.DOCX", "https://docs.wto.org/imrd/directdoc.asp?DDFDocuments/v/G/TBTN24/USA2165.DOCX")</f>
      </c>
    </row>
    <row r="374">
      <c r="A374" s="6" t="s">
        <v>847</v>
      </c>
      <c r="B374" s="7">
        <v>45630</v>
      </c>
      <c r="C374" s="9">
        <f>HYPERLINK("https://eping.wto.org/en/Search?viewData= G/TBT/N/UKR/324"," G/TBT/N/UKR/324")</f>
      </c>
      <c r="D374" s="8" t="s">
        <v>1737</v>
      </c>
      <c r="E374" s="8" t="s">
        <v>1738</v>
      </c>
      <c r="F374" s="8" t="s">
        <v>1739</v>
      </c>
      <c r="G374" s="8" t="s">
        <v>22</v>
      </c>
      <c r="H374" s="8" t="s">
        <v>1740</v>
      </c>
      <c r="I374" s="8" t="s">
        <v>1741</v>
      </c>
      <c r="J374" s="8" t="s">
        <v>22</v>
      </c>
      <c r="K374" s="6"/>
      <c r="L374" s="7">
        <v>45690</v>
      </c>
      <c r="M374" s="6" t="s">
        <v>32</v>
      </c>
      <c r="N374" s="8" t="s">
        <v>1742</v>
      </c>
      <c r="O374" s="6">
        <f>HYPERLINK("https://docs.wto.org/imrd/directdoc.asp?DDFDocuments/t/G/TBTN24/UKR324.DOCX", "https://docs.wto.org/imrd/directdoc.asp?DDFDocuments/t/G/TBTN24/UKR324.DOCX")</f>
      </c>
      <c r="P374" s="6">
        <f>HYPERLINK("https://docs.wto.org/imrd/directdoc.asp?DDFDocuments/u/G/TBTN24/UKR324.DOCX", "https://docs.wto.org/imrd/directdoc.asp?DDFDocuments/u/G/TBTN24/UKR324.DOCX")</f>
      </c>
      <c r="Q374" s="6">
        <f>HYPERLINK("https://docs.wto.org/imrd/directdoc.asp?DDFDocuments/v/G/TBTN24/UKR324.DOCX", "https://docs.wto.org/imrd/directdoc.asp?DDFDocuments/v/G/TBTN24/UKR324.DOCX")</f>
      </c>
    </row>
    <row r="375">
      <c r="A375" s="6" t="s">
        <v>732</v>
      </c>
      <c r="B375" s="7">
        <v>45630</v>
      </c>
      <c r="C375" s="9">
        <f>HYPERLINK("https://eping.wto.org/en/Search?viewData= G/SPS/N/MEX/443/Add.1"," G/SPS/N/MEX/443/Add.1")</f>
      </c>
      <c r="D375" s="8" t="s">
        <v>1743</v>
      </c>
      <c r="E375" s="8" t="s">
        <v>1743</v>
      </c>
      <c r="F375" s="8" t="s">
        <v>1744</v>
      </c>
      <c r="G375" s="8" t="s">
        <v>22</v>
      </c>
      <c r="H375" s="8" t="s">
        <v>22</v>
      </c>
      <c r="I375" s="8" t="s">
        <v>518</v>
      </c>
      <c r="J375" s="8" t="s">
        <v>1745</v>
      </c>
      <c r="K375" s="6"/>
      <c r="L375" s="7" t="s">
        <v>22</v>
      </c>
      <c r="M375" s="6" t="s">
        <v>40</v>
      </c>
      <c r="N375" s="8" t="s">
        <v>1746</v>
      </c>
      <c r="O375" s="6">
        <f>HYPERLINK("https://docs.wto.org/imrd/directdoc.asp?DDFDocuments/t/G/SPS/NMEX443A1.DOCX", "https://docs.wto.org/imrd/directdoc.asp?DDFDocuments/t/G/SPS/NMEX443A1.DOCX")</f>
      </c>
      <c r="P375" s="6">
        <f>HYPERLINK("https://docs.wto.org/imrd/directdoc.asp?DDFDocuments/u/G/SPS/NMEX443A1.DOCX", "https://docs.wto.org/imrd/directdoc.asp?DDFDocuments/u/G/SPS/NMEX443A1.DOCX")</f>
      </c>
      <c r="Q375" s="6">
        <f>HYPERLINK("https://docs.wto.org/imrd/directdoc.asp?DDFDocuments/v/G/SPS/NMEX443A1.DOCX", "https://docs.wto.org/imrd/directdoc.asp?DDFDocuments/v/G/SPS/NMEX443A1.DOCX")</f>
      </c>
    </row>
    <row r="376">
      <c r="A376" s="6" t="s">
        <v>583</v>
      </c>
      <c r="B376" s="7">
        <v>45630</v>
      </c>
      <c r="C376" s="9">
        <f>HYPERLINK("https://eping.wto.org/en/Search?viewData= G/TBT/N/EGY/496"," G/TBT/N/EGY/496")</f>
      </c>
      <c r="D376" s="8" t="s">
        <v>1747</v>
      </c>
      <c r="E376" s="8" t="s">
        <v>1748</v>
      </c>
      <c r="F376" s="8" t="s">
        <v>1749</v>
      </c>
      <c r="G376" s="8" t="s">
        <v>22</v>
      </c>
      <c r="H376" s="8" t="s">
        <v>1750</v>
      </c>
      <c r="I376" s="8" t="s">
        <v>641</v>
      </c>
      <c r="J376" s="8" t="s">
        <v>22</v>
      </c>
      <c r="K376" s="6"/>
      <c r="L376" s="7">
        <v>45690</v>
      </c>
      <c r="M376" s="6" t="s">
        <v>32</v>
      </c>
      <c r="N376" s="6"/>
      <c r="O376" s="6">
        <f>HYPERLINK("https://docs.wto.org/imrd/directdoc.asp?DDFDocuments/t/G/TBTN24/EGY496.DOCX", "https://docs.wto.org/imrd/directdoc.asp?DDFDocuments/t/G/TBTN24/EGY496.DOCX")</f>
      </c>
      <c r="P376" s="6">
        <f>HYPERLINK("https://docs.wto.org/imrd/directdoc.asp?DDFDocuments/u/G/TBTN24/EGY496.DOCX", "https://docs.wto.org/imrd/directdoc.asp?DDFDocuments/u/G/TBTN24/EGY496.DOCX")</f>
      </c>
      <c r="Q376" s="6">
        <f>HYPERLINK("https://docs.wto.org/imrd/directdoc.asp?DDFDocuments/v/G/TBTN24/EGY496.DOCX", "https://docs.wto.org/imrd/directdoc.asp?DDFDocuments/v/G/TBTN24/EGY496.DOCX")</f>
      </c>
    </row>
    <row r="377">
      <c r="A377" s="6" t="s">
        <v>152</v>
      </c>
      <c r="B377" s="7">
        <v>45630</v>
      </c>
      <c r="C377" s="9">
        <f>HYPERLINK("https://eping.wto.org/en/Search?viewData= G/TBT/N/PER/162/Add.1"," G/TBT/N/PER/162/Add.1")</f>
      </c>
      <c r="D377" s="8" t="s">
        <v>1751</v>
      </c>
      <c r="E377" s="8" t="s">
        <v>1752</v>
      </c>
      <c r="F377" s="8" t="s">
        <v>1753</v>
      </c>
      <c r="G377" s="8" t="s">
        <v>1754</v>
      </c>
      <c r="H377" s="8" t="s">
        <v>22</v>
      </c>
      <c r="I377" s="8" t="s">
        <v>39</v>
      </c>
      <c r="J377" s="8" t="s">
        <v>81</v>
      </c>
      <c r="K377" s="6"/>
      <c r="L377" s="7" t="s">
        <v>22</v>
      </c>
      <c r="M377" s="6" t="s">
        <v>40</v>
      </c>
      <c r="N377" s="8" t="s">
        <v>1755</v>
      </c>
      <c r="O377" s="6">
        <f>HYPERLINK("https://docs.wto.org/imrd/directdoc.asp?DDFDocuments/t/G/TBTN24/PER162A1.DOCX", "https://docs.wto.org/imrd/directdoc.asp?DDFDocuments/t/G/TBTN24/PER162A1.DOCX")</f>
      </c>
      <c r="P377" s="6">
        <f>HYPERLINK("https://docs.wto.org/imrd/directdoc.asp?DDFDocuments/u/G/TBTN24/PER162A1.DOCX", "https://docs.wto.org/imrd/directdoc.asp?DDFDocuments/u/G/TBTN24/PER162A1.DOCX")</f>
      </c>
      <c r="Q377" s="6">
        <f>HYPERLINK("https://docs.wto.org/imrd/directdoc.asp?DDFDocuments/v/G/TBTN24/PER162A1.DOCX", "https://docs.wto.org/imrd/directdoc.asp?DDFDocuments/v/G/TBTN24/PER162A1.DOCX")</f>
      </c>
    </row>
    <row r="378">
      <c r="A378" s="6" t="s">
        <v>400</v>
      </c>
      <c r="B378" s="7">
        <v>45630</v>
      </c>
      <c r="C378" s="9">
        <f>HYPERLINK("https://eping.wto.org/en/Search?viewData= G/TBT/N/USA/2164"," G/TBT/N/USA/2164")</f>
      </c>
      <c r="D378" s="8" t="s">
        <v>1756</v>
      </c>
      <c r="E378" s="8" t="s">
        <v>1757</v>
      </c>
      <c r="F378" s="8" t="s">
        <v>1218</v>
      </c>
      <c r="G378" s="8" t="s">
        <v>22</v>
      </c>
      <c r="H378" s="8" t="s">
        <v>816</v>
      </c>
      <c r="I378" s="8" t="s">
        <v>411</v>
      </c>
      <c r="J378" s="8" t="s">
        <v>22</v>
      </c>
      <c r="K378" s="6"/>
      <c r="L378" s="7">
        <v>45659</v>
      </c>
      <c r="M378" s="6" t="s">
        <v>32</v>
      </c>
      <c r="N378" s="8" t="s">
        <v>1758</v>
      </c>
      <c r="O378" s="6">
        <f>HYPERLINK("https://docs.wto.org/imrd/directdoc.asp?DDFDocuments/t/G/TBTN24/USA2164.DOCX", "https://docs.wto.org/imrd/directdoc.asp?DDFDocuments/t/G/TBTN24/USA2164.DOCX")</f>
      </c>
      <c r="P378" s="6">
        <f>HYPERLINK("https://docs.wto.org/imrd/directdoc.asp?DDFDocuments/u/G/TBTN24/USA2164.DOCX", "https://docs.wto.org/imrd/directdoc.asp?DDFDocuments/u/G/TBTN24/USA2164.DOCX")</f>
      </c>
      <c r="Q378" s="6">
        <f>HYPERLINK("https://docs.wto.org/imrd/directdoc.asp?DDFDocuments/v/G/TBTN24/USA2164.DOCX", "https://docs.wto.org/imrd/directdoc.asp?DDFDocuments/v/G/TBTN24/USA2164.DOCX")</f>
      </c>
    </row>
    <row r="379">
      <c r="A379" s="6" t="s">
        <v>583</v>
      </c>
      <c r="B379" s="7">
        <v>45630</v>
      </c>
      <c r="C379" s="9">
        <f>HYPERLINK("https://eping.wto.org/en/Search?viewData= G/TBT/N/EGY/495"," G/TBT/N/EGY/495")</f>
      </c>
      <c r="D379" s="8" t="s">
        <v>1759</v>
      </c>
      <c r="E379" s="8" t="s">
        <v>1760</v>
      </c>
      <c r="F379" s="8" t="s">
        <v>1715</v>
      </c>
      <c r="G379" s="8" t="s">
        <v>22</v>
      </c>
      <c r="H379" s="8" t="s">
        <v>1725</v>
      </c>
      <c r="I379" s="8" t="s">
        <v>641</v>
      </c>
      <c r="J379" s="8" t="s">
        <v>22</v>
      </c>
      <c r="K379" s="6"/>
      <c r="L379" s="7">
        <v>45690</v>
      </c>
      <c r="M379" s="6" t="s">
        <v>32</v>
      </c>
      <c r="N379" s="6"/>
      <c r="O379" s="6">
        <f>HYPERLINK("https://docs.wto.org/imrd/directdoc.asp?DDFDocuments/t/G/TBTN24/EGY495.DOCX", "https://docs.wto.org/imrd/directdoc.asp?DDFDocuments/t/G/TBTN24/EGY495.DOCX")</f>
      </c>
      <c r="P379" s="6">
        <f>HYPERLINK("https://docs.wto.org/imrd/directdoc.asp?DDFDocuments/u/G/TBTN24/EGY495.DOCX", "https://docs.wto.org/imrd/directdoc.asp?DDFDocuments/u/G/TBTN24/EGY495.DOCX")</f>
      </c>
      <c r="Q379" s="6">
        <f>HYPERLINK("https://docs.wto.org/imrd/directdoc.asp?DDFDocuments/v/G/TBTN24/EGY495.DOCX", "https://docs.wto.org/imrd/directdoc.asp?DDFDocuments/v/G/TBTN24/EGY495.DOCX")</f>
      </c>
    </row>
    <row r="380">
      <c r="A380" s="6" t="s">
        <v>732</v>
      </c>
      <c r="B380" s="7">
        <v>45630</v>
      </c>
      <c r="C380" s="9">
        <f>HYPERLINK("https://eping.wto.org/en/Search?viewData= G/SPS/N/MEX/435/Add.1"," G/SPS/N/MEX/435/Add.1")</f>
      </c>
      <c r="D380" s="8" t="s">
        <v>1761</v>
      </c>
      <c r="E380" s="8" t="s">
        <v>1761</v>
      </c>
      <c r="F380" s="8" t="s">
        <v>1762</v>
      </c>
      <c r="G380" s="8" t="s">
        <v>1763</v>
      </c>
      <c r="H380" s="8" t="s">
        <v>22</v>
      </c>
      <c r="I380" s="8" t="s">
        <v>1692</v>
      </c>
      <c r="J380" s="8" t="s">
        <v>1764</v>
      </c>
      <c r="K380" s="6"/>
      <c r="L380" s="7" t="s">
        <v>22</v>
      </c>
      <c r="M380" s="6" t="s">
        <v>40</v>
      </c>
      <c r="N380" s="8" t="s">
        <v>1765</v>
      </c>
      <c r="O380" s="6">
        <f>HYPERLINK("https://docs.wto.org/imrd/directdoc.asp?DDFDocuments/t/G/SPS/NMEX435A1.DOCX", "https://docs.wto.org/imrd/directdoc.asp?DDFDocuments/t/G/SPS/NMEX435A1.DOCX")</f>
      </c>
      <c r="P380" s="6">
        <f>HYPERLINK("https://docs.wto.org/imrd/directdoc.asp?DDFDocuments/u/G/SPS/NMEX435A1.DOCX", "https://docs.wto.org/imrd/directdoc.asp?DDFDocuments/u/G/SPS/NMEX435A1.DOCX")</f>
      </c>
      <c r="Q380" s="6">
        <f>HYPERLINK("https://docs.wto.org/imrd/directdoc.asp?DDFDocuments/v/G/SPS/NMEX435A1.DOCX", "https://docs.wto.org/imrd/directdoc.asp?DDFDocuments/v/G/SPS/NMEX435A1.DOCX")</f>
      </c>
    </row>
    <row r="381">
      <c r="A381" s="6" t="s">
        <v>82</v>
      </c>
      <c r="B381" s="7">
        <v>45629</v>
      </c>
      <c r="C381" s="9">
        <f>HYPERLINK("https://eping.wto.org/en/Search?viewData= G/SPS/N/BRA/2180/Add.2"," G/SPS/N/BRA/2180/Add.2")</f>
      </c>
      <c r="D381" s="8" t="s">
        <v>1766</v>
      </c>
      <c r="E381" s="8" t="s">
        <v>1767</v>
      </c>
      <c r="F381" s="8" t="s">
        <v>1768</v>
      </c>
      <c r="G381" s="8" t="s">
        <v>1769</v>
      </c>
      <c r="H381" s="8" t="s">
        <v>22</v>
      </c>
      <c r="I381" s="8" t="s">
        <v>390</v>
      </c>
      <c r="J381" s="8" t="s">
        <v>1770</v>
      </c>
      <c r="K381" s="6"/>
      <c r="L381" s="7">
        <v>45689</v>
      </c>
      <c r="M381" s="6" t="s">
        <v>40</v>
      </c>
      <c r="N381" s="8" t="s">
        <v>1771</v>
      </c>
      <c r="O381" s="6">
        <f>HYPERLINK("https://docs.wto.org/imrd/directdoc.asp?DDFDocuments/t/G/SPS/NBRA2180A2.DOCX", "https://docs.wto.org/imrd/directdoc.asp?DDFDocuments/t/G/SPS/NBRA2180A2.DOCX")</f>
      </c>
      <c r="P381" s="6">
        <f>HYPERLINK("https://docs.wto.org/imrd/directdoc.asp?DDFDocuments/u/G/SPS/NBRA2180A2.DOCX", "https://docs.wto.org/imrd/directdoc.asp?DDFDocuments/u/G/SPS/NBRA2180A2.DOCX")</f>
      </c>
      <c r="Q381" s="6">
        <f>HYPERLINK("https://docs.wto.org/imrd/directdoc.asp?DDFDocuments/v/G/SPS/NBRA2180A2.DOCX", "https://docs.wto.org/imrd/directdoc.asp?DDFDocuments/v/G/SPS/NBRA2180A2.DOCX")</f>
      </c>
    </row>
    <row r="382">
      <c r="A382" s="6" t="s">
        <v>299</v>
      </c>
      <c r="B382" s="7">
        <v>45629</v>
      </c>
      <c r="C382" s="9">
        <f>HYPERLINK("https://eping.wto.org/en/Search?viewData= G/SPS/N/NZL/770/Add.1"," G/SPS/N/NZL/770/Add.1")</f>
      </c>
      <c r="D382" s="8" t="s">
        <v>1772</v>
      </c>
      <c r="E382" s="8" t="s">
        <v>1773</v>
      </c>
      <c r="F382" s="8" t="s">
        <v>1774</v>
      </c>
      <c r="G382" s="8" t="s">
        <v>1775</v>
      </c>
      <c r="H382" s="8" t="s">
        <v>22</v>
      </c>
      <c r="I382" s="8" t="s">
        <v>128</v>
      </c>
      <c r="J382" s="8" t="s">
        <v>1776</v>
      </c>
      <c r="K382" s="6"/>
      <c r="L382" s="7" t="s">
        <v>22</v>
      </c>
      <c r="M382" s="6" t="s">
        <v>40</v>
      </c>
      <c r="N382" s="8" t="s">
        <v>1777</v>
      </c>
      <c r="O382" s="6">
        <f>HYPERLINK("https://docs.wto.org/imrd/directdoc.asp?DDFDocuments/t/G/SPS/NNZL770A1.DOCX", "https://docs.wto.org/imrd/directdoc.asp?DDFDocuments/t/G/SPS/NNZL770A1.DOCX")</f>
      </c>
      <c r="P382" s="6">
        <f>HYPERLINK("https://docs.wto.org/imrd/directdoc.asp?DDFDocuments/u/G/SPS/NNZL770A1.DOCX", "https://docs.wto.org/imrd/directdoc.asp?DDFDocuments/u/G/SPS/NNZL770A1.DOCX")</f>
      </c>
      <c r="Q382" s="6">
        <f>HYPERLINK("https://docs.wto.org/imrd/directdoc.asp?DDFDocuments/v/G/SPS/NNZL770A1.DOCX", "https://docs.wto.org/imrd/directdoc.asp?DDFDocuments/v/G/SPS/NNZL770A1.DOCX")</f>
      </c>
    </row>
    <row r="383">
      <c r="A383" s="6" t="s">
        <v>82</v>
      </c>
      <c r="B383" s="7">
        <v>45629</v>
      </c>
      <c r="C383" s="9">
        <f>HYPERLINK("https://eping.wto.org/en/Search?viewData= G/SPS/N/BRA/2357"," G/SPS/N/BRA/2357")</f>
      </c>
      <c r="D383" s="8" t="s">
        <v>1778</v>
      </c>
      <c r="E383" s="8" t="s">
        <v>1779</v>
      </c>
      <c r="F383" s="8" t="s">
        <v>1780</v>
      </c>
      <c r="G383" s="8" t="s">
        <v>1781</v>
      </c>
      <c r="H383" s="8" t="s">
        <v>22</v>
      </c>
      <c r="I383" s="8" t="s">
        <v>390</v>
      </c>
      <c r="J383" s="8" t="s">
        <v>391</v>
      </c>
      <c r="K383" s="6" t="s">
        <v>152</v>
      </c>
      <c r="L383" s="7">
        <v>45689</v>
      </c>
      <c r="M383" s="6" t="s">
        <v>32</v>
      </c>
      <c r="N383" s="8" t="s">
        <v>1782</v>
      </c>
      <c r="O383" s="6">
        <f>HYPERLINK("https://docs.wto.org/imrd/directdoc.asp?DDFDocuments/t/G/SPS/NBRA2357.DOCX", "https://docs.wto.org/imrd/directdoc.asp?DDFDocuments/t/G/SPS/NBRA2357.DOCX")</f>
      </c>
      <c r="P383" s="6">
        <f>HYPERLINK("https://docs.wto.org/imrd/directdoc.asp?DDFDocuments/u/G/SPS/NBRA2357.DOCX", "https://docs.wto.org/imrd/directdoc.asp?DDFDocuments/u/G/SPS/NBRA2357.DOCX")</f>
      </c>
      <c r="Q383" s="6">
        <f>HYPERLINK("https://docs.wto.org/imrd/directdoc.asp?DDFDocuments/v/G/SPS/NBRA2357.DOCX", "https://docs.wto.org/imrd/directdoc.asp?DDFDocuments/v/G/SPS/NBRA2357.DOCX")</f>
      </c>
    </row>
    <row r="384">
      <c r="A384" s="6" t="s">
        <v>847</v>
      </c>
      <c r="B384" s="7">
        <v>45629</v>
      </c>
      <c r="C384" s="9">
        <f>HYPERLINK("https://eping.wto.org/en/Search?viewData= G/TBT/N/UKR/323"," G/TBT/N/UKR/323")</f>
      </c>
      <c r="D384" s="8" t="s">
        <v>1783</v>
      </c>
      <c r="E384" s="8" t="s">
        <v>1784</v>
      </c>
      <c r="F384" s="8" t="s">
        <v>1785</v>
      </c>
      <c r="G384" s="8" t="s">
        <v>1786</v>
      </c>
      <c r="H384" s="8" t="s">
        <v>893</v>
      </c>
      <c r="I384" s="8" t="s">
        <v>1787</v>
      </c>
      <c r="J384" s="8" t="s">
        <v>58</v>
      </c>
      <c r="K384" s="6"/>
      <c r="L384" s="7">
        <v>45689</v>
      </c>
      <c r="M384" s="6" t="s">
        <v>32</v>
      </c>
      <c r="N384" s="8" t="s">
        <v>1788</v>
      </c>
      <c r="O384" s="6">
        <f>HYPERLINK("https://docs.wto.org/imrd/directdoc.asp?DDFDocuments/t/G/TBTN24/UKR323.DOCX", "https://docs.wto.org/imrd/directdoc.asp?DDFDocuments/t/G/TBTN24/UKR323.DOCX")</f>
      </c>
      <c r="P384" s="6">
        <f>HYPERLINK("https://docs.wto.org/imrd/directdoc.asp?DDFDocuments/u/G/TBTN24/UKR323.DOCX", "https://docs.wto.org/imrd/directdoc.asp?DDFDocuments/u/G/TBTN24/UKR323.DOCX")</f>
      </c>
      <c r="Q384" s="6">
        <f>HYPERLINK("https://docs.wto.org/imrd/directdoc.asp?DDFDocuments/v/G/TBTN24/UKR323.DOCX", "https://docs.wto.org/imrd/directdoc.asp?DDFDocuments/v/G/TBTN24/UKR323.DOCX")</f>
      </c>
    </row>
    <row r="385">
      <c r="A385" s="6" t="s">
        <v>82</v>
      </c>
      <c r="B385" s="7">
        <v>45629</v>
      </c>
      <c r="C385" s="9">
        <f>HYPERLINK("https://eping.wto.org/en/Search?viewData= G/SPS/N/BRA/2356"," G/SPS/N/BRA/2356")</f>
      </c>
      <c r="D385" s="8" t="s">
        <v>1789</v>
      </c>
      <c r="E385" s="8" t="s">
        <v>1790</v>
      </c>
      <c r="F385" s="8" t="s">
        <v>1791</v>
      </c>
      <c r="G385" s="8" t="s">
        <v>22</v>
      </c>
      <c r="H385" s="8" t="s">
        <v>1169</v>
      </c>
      <c r="I385" s="8" t="s">
        <v>120</v>
      </c>
      <c r="J385" s="8" t="s">
        <v>416</v>
      </c>
      <c r="K385" s="6"/>
      <c r="L385" s="7">
        <v>45722</v>
      </c>
      <c r="M385" s="6" t="s">
        <v>32</v>
      </c>
      <c r="N385" s="8" t="s">
        <v>1792</v>
      </c>
      <c r="O385" s="6">
        <f>HYPERLINK("https://docs.wto.org/imrd/directdoc.asp?DDFDocuments/t/G/SPS/NBRA2356.DOCX", "https://docs.wto.org/imrd/directdoc.asp?DDFDocuments/t/G/SPS/NBRA2356.DOCX")</f>
      </c>
      <c r="P385" s="6">
        <f>HYPERLINK("https://docs.wto.org/imrd/directdoc.asp?DDFDocuments/u/G/SPS/NBRA2356.DOCX", "https://docs.wto.org/imrd/directdoc.asp?DDFDocuments/u/G/SPS/NBRA2356.DOCX")</f>
      </c>
      <c r="Q385" s="6">
        <f>HYPERLINK("https://docs.wto.org/imrd/directdoc.asp?DDFDocuments/v/G/SPS/NBRA2356.DOCX", "https://docs.wto.org/imrd/directdoc.asp?DDFDocuments/v/G/SPS/NBRA2356.DOCX")</f>
      </c>
    </row>
    <row r="386">
      <c r="A386" s="6" t="s">
        <v>785</v>
      </c>
      <c r="B386" s="7">
        <v>45629</v>
      </c>
      <c r="C386" s="9">
        <f>HYPERLINK("https://eping.wto.org/en/Search?viewData= G/TBT/N/DOM/240"," G/TBT/N/DOM/240")</f>
      </c>
      <c r="D386" s="8" t="s">
        <v>1793</v>
      </c>
      <c r="E386" s="8" t="s">
        <v>1794</v>
      </c>
      <c r="F386" s="8" t="s">
        <v>1795</v>
      </c>
      <c r="G386" s="8" t="s">
        <v>1796</v>
      </c>
      <c r="H386" s="8" t="s">
        <v>1797</v>
      </c>
      <c r="I386" s="8" t="s">
        <v>1798</v>
      </c>
      <c r="J386" s="8" t="s">
        <v>139</v>
      </c>
      <c r="K386" s="6"/>
      <c r="L386" s="7">
        <v>45689</v>
      </c>
      <c r="M386" s="6" t="s">
        <v>32</v>
      </c>
      <c r="N386" s="8" t="s">
        <v>1799</v>
      </c>
      <c r="O386" s="6">
        <f>HYPERLINK("https://docs.wto.org/imrd/directdoc.asp?DDFDocuments/t/G/TBTN24/DOM240.DOCX", "https://docs.wto.org/imrd/directdoc.asp?DDFDocuments/t/G/TBTN24/DOM240.DOCX")</f>
      </c>
      <c r="P386" s="6">
        <f>HYPERLINK("https://docs.wto.org/imrd/directdoc.asp?DDFDocuments/u/G/TBTN24/DOM240.DOCX", "https://docs.wto.org/imrd/directdoc.asp?DDFDocuments/u/G/TBTN24/DOM240.DOCX")</f>
      </c>
      <c r="Q386" s="6">
        <f>HYPERLINK("https://docs.wto.org/imrd/directdoc.asp?DDFDocuments/v/G/TBTN24/DOM240.DOCX", "https://docs.wto.org/imrd/directdoc.asp?DDFDocuments/v/G/TBTN24/DOM240.DOCX")</f>
      </c>
    </row>
    <row r="387">
      <c r="A387" s="6" t="s">
        <v>68</v>
      </c>
      <c r="B387" s="7">
        <v>45629</v>
      </c>
      <c r="C387" s="9">
        <f>HYPERLINK("https://eping.wto.org/en/Search?viewData= G/TBT/N/UGA/2054"," G/TBT/N/UGA/2054")</f>
      </c>
      <c r="D387" s="8" t="s">
        <v>1573</v>
      </c>
      <c r="E387" s="8" t="s">
        <v>1800</v>
      </c>
      <c r="F387" s="8" t="s">
        <v>1575</v>
      </c>
      <c r="G387" s="8" t="s">
        <v>396</v>
      </c>
      <c r="H387" s="8" t="s">
        <v>866</v>
      </c>
      <c r="I387" s="8" t="s">
        <v>1067</v>
      </c>
      <c r="J387" s="8" t="s">
        <v>58</v>
      </c>
      <c r="K387" s="6"/>
      <c r="L387" s="7">
        <v>45689</v>
      </c>
      <c r="M387" s="6" t="s">
        <v>32</v>
      </c>
      <c r="N387" s="8" t="s">
        <v>1801</v>
      </c>
      <c r="O387" s="6">
        <f>HYPERLINK("https://docs.wto.org/imrd/directdoc.asp?DDFDocuments/t/G/TBTN24/UGA2054.DOCX", "https://docs.wto.org/imrd/directdoc.asp?DDFDocuments/t/G/TBTN24/UGA2054.DOCX")</f>
      </c>
      <c r="P387" s="6">
        <f>HYPERLINK("https://docs.wto.org/imrd/directdoc.asp?DDFDocuments/u/G/TBTN24/UGA2054.DOCX", "https://docs.wto.org/imrd/directdoc.asp?DDFDocuments/u/G/TBTN24/UGA2054.DOCX")</f>
      </c>
      <c r="Q387" s="6">
        <f>HYPERLINK("https://docs.wto.org/imrd/directdoc.asp?DDFDocuments/v/G/TBTN24/UGA2054.DOCX", "https://docs.wto.org/imrd/directdoc.asp?DDFDocuments/v/G/TBTN24/UGA2054.DOCX")</f>
      </c>
    </row>
    <row r="388">
      <c r="A388" s="6" t="s">
        <v>68</v>
      </c>
      <c r="B388" s="7">
        <v>45629</v>
      </c>
      <c r="C388" s="9">
        <f>HYPERLINK("https://eping.wto.org/en/Search?viewData= G/TBT/N/UGA/2057"," G/TBT/N/UGA/2057")</f>
      </c>
      <c r="D388" s="8" t="s">
        <v>1802</v>
      </c>
      <c r="E388" s="8" t="s">
        <v>1803</v>
      </c>
      <c r="F388" s="8" t="s">
        <v>1804</v>
      </c>
      <c r="G388" s="8" t="s">
        <v>1564</v>
      </c>
      <c r="H388" s="8" t="s">
        <v>866</v>
      </c>
      <c r="I388" s="8" t="s">
        <v>1805</v>
      </c>
      <c r="J388" s="8" t="s">
        <v>58</v>
      </c>
      <c r="K388" s="6"/>
      <c r="L388" s="7">
        <v>45689</v>
      </c>
      <c r="M388" s="6" t="s">
        <v>32</v>
      </c>
      <c r="N388" s="8" t="s">
        <v>1806</v>
      </c>
      <c r="O388" s="6">
        <f>HYPERLINK("https://docs.wto.org/imrd/directdoc.asp?DDFDocuments/t/G/TBTN24/UGA2057.DOCX", "https://docs.wto.org/imrd/directdoc.asp?DDFDocuments/t/G/TBTN24/UGA2057.DOCX")</f>
      </c>
      <c r="P388" s="6">
        <f>HYPERLINK("https://docs.wto.org/imrd/directdoc.asp?DDFDocuments/u/G/TBTN24/UGA2057.DOCX", "https://docs.wto.org/imrd/directdoc.asp?DDFDocuments/u/G/TBTN24/UGA2057.DOCX")</f>
      </c>
      <c r="Q388" s="6">
        <f>HYPERLINK("https://docs.wto.org/imrd/directdoc.asp?DDFDocuments/v/G/TBTN24/UGA2057.DOCX", "https://docs.wto.org/imrd/directdoc.asp?DDFDocuments/v/G/TBTN24/UGA2057.DOCX")</f>
      </c>
    </row>
    <row r="389">
      <c r="A389" s="6" t="s">
        <v>68</v>
      </c>
      <c r="B389" s="7">
        <v>45629</v>
      </c>
      <c r="C389" s="9">
        <f>HYPERLINK("https://eping.wto.org/en/Search?viewData= G/TBT/N/UGA/2055"," G/TBT/N/UGA/2055")</f>
      </c>
      <c r="D389" s="8" t="s">
        <v>1807</v>
      </c>
      <c r="E389" s="8" t="s">
        <v>1808</v>
      </c>
      <c r="F389" s="8" t="s">
        <v>1518</v>
      </c>
      <c r="G389" s="8" t="s">
        <v>1519</v>
      </c>
      <c r="H389" s="8" t="s">
        <v>866</v>
      </c>
      <c r="I389" s="8" t="s">
        <v>1067</v>
      </c>
      <c r="J389" s="8" t="s">
        <v>58</v>
      </c>
      <c r="K389" s="6"/>
      <c r="L389" s="7">
        <v>45689</v>
      </c>
      <c r="M389" s="6" t="s">
        <v>32</v>
      </c>
      <c r="N389" s="8" t="s">
        <v>1809</v>
      </c>
      <c r="O389" s="6">
        <f>HYPERLINK("https://docs.wto.org/imrd/directdoc.asp?DDFDocuments/t/G/TBTN24/UGA2055.DOCX", "https://docs.wto.org/imrd/directdoc.asp?DDFDocuments/t/G/TBTN24/UGA2055.DOCX")</f>
      </c>
      <c r="P389" s="6">
        <f>HYPERLINK("https://docs.wto.org/imrd/directdoc.asp?DDFDocuments/u/G/TBTN24/UGA2055.DOCX", "https://docs.wto.org/imrd/directdoc.asp?DDFDocuments/u/G/TBTN24/UGA2055.DOCX")</f>
      </c>
      <c r="Q389" s="6">
        <f>HYPERLINK("https://docs.wto.org/imrd/directdoc.asp?DDFDocuments/v/G/TBTN24/UGA2055.DOCX", "https://docs.wto.org/imrd/directdoc.asp?DDFDocuments/v/G/TBTN24/UGA2055.DOCX")</f>
      </c>
    </row>
    <row r="390">
      <c r="A390" s="6" t="s">
        <v>104</v>
      </c>
      <c r="B390" s="7">
        <v>45629</v>
      </c>
      <c r="C390" s="9">
        <f>HYPERLINK("https://eping.wto.org/en/Search?viewData= G/TBT/N/CHN/1947"," G/TBT/N/CHN/1947")</f>
      </c>
      <c r="D390" s="8" t="s">
        <v>1810</v>
      </c>
      <c r="E390" s="8" t="s">
        <v>1811</v>
      </c>
      <c r="F390" s="8" t="s">
        <v>1812</v>
      </c>
      <c r="G390" s="8" t="s">
        <v>1813</v>
      </c>
      <c r="H390" s="8" t="s">
        <v>1814</v>
      </c>
      <c r="I390" s="8" t="s">
        <v>292</v>
      </c>
      <c r="J390" s="8" t="s">
        <v>22</v>
      </c>
      <c r="K390" s="6"/>
      <c r="L390" s="7">
        <v>45689</v>
      </c>
      <c r="M390" s="6" t="s">
        <v>32</v>
      </c>
      <c r="N390" s="8" t="s">
        <v>1815</v>
      </c>
      <c r="O390" s="6">
        <f>HYPERLINK("https://docs.wto.org/imrd/directdoc.asp?DDFDocuments/t/G/TBTN24/CHN1947.DOCX", "https://docs.wto.org/imrd/directdoc.asp?DDFDocuments/t/G/TBTN24/CHN1947.DOCX")</f>
      </c>
      <c r="P390" s="6">
        <f>HYPERLINK("https://docs.wto.org/imrd/directdoc.asp?DDFDocuments/u/G/TBTN24/CHN1947.DOCX", "https://docs.wto.org/imrd/directdoc.asp?DDFDocuments/u/G/TBTN24/CHN1947.DOCX")</f>
      </c>
      <c r="Q390" s="6">
        <f>HYPERLINK("https://docs.wto.org/imrd/directdoc.asp?DDFDocuments/v/G/TBTN24/CHN1947.DOCX", "https://docs.wto.org/imrd/directdoc.asp?DDFDocuments/v/G/TBTN24/CHN1947.DOCX")</f>
      </c>
    </row>
    <row r="391">
      <c r="A391" s="6" t="s">
        <v>374</v>
      </c>
      <c r="B391" s="7">
        <v>45629</v>
      </c>
      <c r="C391" s="9">
        <f>HYPERLINK("https://eping.wto.org/en/Search?viewData= G/TBT/N/CRI/204"," G/TBT/N/CRI/204")</f>
      </c>
      <c r="D391" s="8" t="s">
        <v>1816</v>
      </c>
      <c r="E391" s="8" t="s">
        <v>1817</v>
      </c>
      <c r="F391" s="8" t="s">
        <v>1818</v>
      </c>
      <c r="G391" s="8" t="s">
        <v>22</v>
      </c>
      <c r="H391" s="8" t="s">
        <v>22</v>
      </c>
      <c r="I391" s="8" t="s">
        <v>1819</v>
      </c>
      <c r="J391" s="8" t="s">
        <v>22</v>
      </c>
      <c r="K391" s="6"/>
      <c r="L391" s="7">
        <v>45689</v>
      </c>
      <c r="M391" s="6" t="s">
        <v>32</v>
      </c>
      <c r="N391" s="8" t="s">
        <v>1820</v>
      </c>
      <c r="O391" s="6">
        <f>HYPERLINK("https://docs.wto.org/imrd/directdoc.asp?DDFDocuments/t/G/TBTN24/CRI204.DOCX", "https://docs.wto.org/imrd/directdoc.asp?DDFDocuments/t/G/TBTN24/CRI204.DOCX")</f>
      </c>
      <c r="P391" s="6">
        <f>HYPERLINK("https://docs.wto.org/imrd/directdoc.asp?DDFDocuments/u/G/TBTN24/CRI204.DOCX", "https://docs.wto.org/imrd/directdoc.asp?DDFDocuments/u/G/TBTN24/CRI204.DOCX")</f>
      </c>
      <c r="Q391" s="6">
        <f>HYPERLINK("https://docs.wto.org/imrd/directdoc.asp?DDFDocuments/v/G/TBTN24/CRI204.DOCX", "https://docs.wto.org/imrd/directdoc.asp?DDFDocuments/v/G/TBTN24/CRI204.DOCX")</f>
      </c>
    </row>
    <row r="392">
      <c r="A392" s="6" t="s">
        <v>68</v>
      </c>
      <c r="B392" s="7">
        <v>45629</v>
      </c>
      <c r="C392" s="9">
        <f>HYPERLINK("https://eping.wto.org/en/Search?viewData= G/TBT/N/UGA/2056"," G/TBT/N/UGA/2056")</f>
      </c>
      <c r="D392" s="8" t="s">
        <v>1821</v>
      </c>
      <c r="E392" s="8" t="s">
        <v>1822</v>
      </c>
      <c r="F392" s="8" t="s">
        <v>1523</v>
      </c>
      <c r="G392" s="8" t="s">
        <v>1524</v>
      </c>
      <c r="H392" s="8" t="s">
        <v>872</v>
      </c>
      <c r="I392" s="8" t="s">
        <v>1067</v>
      </c>
      <c r="J392" s="8" t="s">
        <v>58</v>
      </c>
      <c r="K392" s="6"/>
      <c r="L392" s="7">
        <v>45689</v>
      </c>
      <c r="M392" s="6" t="s">
        <v>32</v>
      </c>
      <c r="N392" s="8" t="s">
        <v>1823</v>
      </c>
      <c r="O392" s="6">
        <f>HYPERLINK("https://docs.wto.org/imrd/directdoc.asp?DDFDocuments/t/G/TBTN24/UGA2056.DOCX", "https://docs.wto.org/imrd/directdoc.asp?DDFDocuments/t/G/TBTN24/UGA2056.DOCX")</f>
      </c>
      <c r="P392" s="6">
        <f>HYPERLINK("https://docs.wto.org/imrd/directdoc.asp?DDFDocuments/u/G/TBTN24/UGA2056.DOCX", "https://docs.wto.org/imrd/directdoc.asp?DDFDocuments/u/G/TBTN24/UGA2056.DOCX")</f>
      </c>
      <c r="Q392" s="6">
        <f>HYPERLINK("https://docs.wto.org/imrd/directdoc.asp?DDFDocuments/v/G/TBTN24/UGA2056.DOCX", "https://docs.wto.org/imrd/directdoc.asp?DDFDocuments/v/G/TBTN24/UGA2056.DOCX")</f>
      </c>
    </row>
    <row r="393">
      <c r="A393" s="6" t="s">
        <v>82</v>
      </c>
      <c r="B393" s="7">
        <v>45629</v>
      </c>
      <c r="C393" s="9">
        <f>HYPERLINK("https://eping.wto.org/en/Search?viewData= G/SPS/N/BRA/2358"," G/SPS/N/BRA/2358")</f>
      </c>
      <c r="D393" s="8" t="s">
        <v>1824</v>
      </c>
      <c r="E393" s="8" t="s">
        <v>1825</v>
      </c>
      <c r="F393" s="8" t="s">
        <v>1826</v>
      </c>
      <c r="G393" s="8" t="s">
        <v>1827</v>
      </c>
      <c r="H393" s="8" t="s">
        <v>22</v>
      </c>
      <c r="I393" s="8" t="s">
        <v>390</v>
      </c>
      <c r="J393" s="8" t="s">
        <v>391</v>
      </c>
      <c r="K393" s="6" t="s">
        <v>22</v>
      </c>
      <c r="L393" s="7">
        <v>45689</v>
      </c>
      <c r="M393" s="6" t="s">
        <v>32</v>
      </c>
      <c r="N393" s="8" t="s">
        <v>1828</v>
      </c>
      <c r="O393" s="6">
        <f>HYPERLINK("https://docs.wto.org/imrd/directdoc.asp?DDFDocuments/t/G/SPS/NBRA2358.DOCX", "https://docs.wto.org/imrd/directdoc.asp?DDFDocuments/t/G/SPS/NBRA2358.DOCX")</f>
      </c>
      <c r="P393" s="6">
        <f>HYPERLINK("https://docs.wto.org/imrd/directdoc.asp?DDFDocuments/u/G/SPS/NBRA2358.DOCX", "https://docs.wto.org/imrd/directdoc.asp?DDFDocuments/u/G/SPS/NBRA2358.DOCX")</f>
      </c>
      <c r="Q393" s="6">
        <f>HYPERLINK("https://docs.wto.org/imrd/directdoc.asp?DDFDocuments/v/G/SPS/NBRA2358.DOCX", "https://docs.wto.org/imrd/directdoc.asp?DDFDocuments/v/G/SPS/NBRA2358.DOCX")</f>
      </c>
    </row>
    <row r="394">
      <c r="A394" s="6" t="s">
        <v>418</v>
      </c>
      <c r="B394" s="7">
        <v>45628</v>
      </c>
      <c r="C394" s="9">
        <f>HYPERLINK("https://eping.wto.org/en/Search?viewData= G/TBT/N/EU/1100"," G/TBT/N/EU/1100")</f>
      </c>
      <c r="D394" s="8" t="s">
        <v>1829</v>
      </c>
      <c r="E394" s="8" t="s">
        <v>1830</v>
      </c>
      <c r="F394" s="8" t="s">
        <v>1724</v>
      </c>
      <c r="G394" s="8" t="s">
        <v>22</v>
      </c>
      <c r="H394" s="8" t="s">
        <v>1725</v>
      </c>
      <c r="I394" s="8" t="s">
        <v>292</v>
      </c>
      <c r="J394" s="8" t="s">
        <v>22</v>
      </c>
      <c r="K394" s="6"/>
      <c r="L394" s="7">
        <v>45688</v>
      </c>
      <c r="M394" s="6" t="s">
        <v>32</v>
      </c>
      <c r="N394" s="8" t="s">
        <v>1831</v>
      </c>
      <c r="O394" s="6">
        <f>HYPERLINK("https://docs.wto.org/imrd/directdoc.asp?DDFDocuments/t/G/TBTN24/EU1100.DOCX", "https://docs.wto.org/imrd/directdoc.asp?DDFDocuments/t/G/TBTN24/EU1100.DOCX")</f>
      </c>
      <c r="P394" s="6">
        <f>HYPERLINK("https://docs.wto.org/imrd/directdoc.asp?DDFDocuments/u/G/TBTN24/EU1100.DOCX", "https://docs.wto.org/imrd/directdoc.asp?DDFDocuments/u/G/TBTN24/EU1100.DOCX")</f>
      </c>
      <c r="Q394" s="6">
        <f>HYPERLINK("https://docs.wto.org/imrd/directdoc.asp?DDFDocuments/v/G/TBTN24/EU1100.DOCX", "https://docs.wto.org/imrd/directdoc.asp?DDFDocuments/v/G/TBTN24/EU1100.DOCX")</f>
      </c>
    </row>
    <row r="395">
      <c r="A395" s="6" t="s">
        <v>400</v>
      </c>
      <c r="B395" s="7">
        <v>45628</v>
      </c>
      <c r="C395" s="9">
        <f>HYPERLINK("https://eping.wto.org/en/Search?viewData= G/TBT/N/USA/2073/Add.2"," G/TBT/N/USA/2073/Add.2")</f>
      </c>
      <c r="D395" s="8" t="s">
        <v>1832</v>
      </c>
      <c r="E395" s="8" t="s">
        <v>1833</v>
      </c>
      <c r="F395" s="8" t="s">
        <v>1834</v>
      </c>
      <c r="G395" s="8" t="s">
        <v>1835</v>
      </c>
      <c r="H395" s="8" t="s">
        <v>1836</v>
      </c>
      <c r="I395" s="8" t="s">
        <v>1837</v>
      </c>
      <c r="J395" s="8" t="s">
        <v>22</v>
      </c>
      <c r="K395" s="6"/>
      <c r="L395" s="7" t="s">
        <v>22</v>
      </c>
      <c r="M395" s="6" t="s">
        <v>40</v>
      </c>
      <c r="N395" s="8" t="s">
        <v>1838</v>
      </c>
      <c r="O395" s="6">
        <f>HYPERLINK("https://docs.wto.org/imrd/directdoc.asp?DDFDocuments/t/G/TBTN23/USA2073A2.DOCX", "https://docs.wto.org/imrd/directdoc.asp?DDFDocuments/t/G/TBTN23/USA2073A2.DOCX")</f>
      </c>
      <c r="P395" s="6">
        <f>HYPERLINK("https://docs.wto.org/imrd/directdoc.asp?DDFDocuments/u/G/TBTN23/USA2073A2.DOCX", "https://docs.wto.org/imrd/directdoc.asp?DDFDocuments/u/G/TBTN23/USA2073A2.DOCX")</f>
      </c>
      <c r="Q395" s="6">
        <f>HYPERLINK("https://docs.wto.org/imrd/directdoc.asp?DDFDocuments/v/G/TBTN23/USA2073A2.DOCX", "https://docs.wto.org/imrd/directdoc.asp?DDFDocuments/v/G/TBTN23/USA2073A2.DOCX")</f>
      </c>
    </row>
    <row r="396">
      <c r="A396" s="6" t="s">
        <v>34</v>
      </c>
      <c r="B396" s="7">
        <v>45628</v>
      </c>
      <c r="C396" s="9">
        <f>HYPERLINK("https://eping.wto.org/en/Search?viewData= G/TBT/N/TPKM/552"," G/TBT/N/TPKM/552")</f>
      </c>
      <c r="D396" s="8" t="s">
        <v>1839</v>
      </c>
      <c r="E396" s="8" t="s">
        <v>1840</v>
      </c>
      <c r="F396" s="8" t="s">
        <v>1841</v>
      </c>
      <c r="G396" s="8" t="s">
        <v>22</v>
      </c>
      <c r="H396" s="8" t="s">
        <v>1842</v>
      </c>
      <c r="I396" s="8" t="s">
        <v>619</v>
      </c>
      <c r="J396" s="8" t="s">
        <v>22</v>
      </c>
      <c r="K396" s="6"/>
      <c r="L396" s="7">
        <v>45688</v>
      </c>
      <c r="M396" s="6" t="s">
        <v>32</v>
      </c>
      <c r="N396" s="8" t="s">
        <v>1843</v>
      </c>
      <c r="O396" s="6">
        <f>HYPERLINK("https://docs.wto.org/imrd/directdoc.asp?DDFDocuments/t/G/TBTN24/TPKM552.DOCX", "https://docs.wto.org/imrd/directdoc.asp?DDFDocuments/t/G/TBTN24/TPKM552.DOCX")</f>
      </c>
      <c r="P396" s="6">
        <f>HYPERLINK("https://docs.wto.org/imrd/directdoc.asp?DDFDocuments/u/G/TBTN24/TPKM552.DOCX", "https://docs.wto.org/imrd/directdoc.asp?DDFDocuments/u/G/TBTN24/TPKM552.DOCX")</f>
      </c>
      <c r="Q396" s="6">
        <f>HYPERLINK("https://docs.wto.org/imrd/directdoc.asp?DDFDocuments/v/G/TBTN24/TPKM552.DOCX", "https://docs.wto.org/imrd/directdoc.asp?DDFDocuments/v/G/TBTN24/TPKM552.DOCX")</f>
      </c>
    </row>
    <row r="397">
      <c r="A397" s="6" t="s">
        <v>82</v>
      </c>
      <c r="B397" s="7">
        <v>45628</v>
      </c>
      <c r="C397" s="9">
        <f>HYPERLINK("https://eping.wto.org/en/Search?viewData= G/TBT/N/BRA/826/Add.8"," G/TBT/N/BRA/826/Add.8")</f>
      </c>
      <c r="D397" s="8" t="s">
        <v>1844</v>
      </c>
      <c r="E397" s="8" t="s">
        <v>1845</v>
      </c>
      <c r="F397" s="8" t="s">
        <v>1846</v>
      </c>
      <c r="G397" s="8" t="s">
        <v>1847</v>
      </c>
      <c r="H397" s="8" t="s">
        <v>358</v>
      </c>
      <c r="I397" s="8" t="s">
        <v>39</v>
      </c>
      <c r="J397" s="8" t="s">
        <v>1848</v>
      </c>
      <c r="K397" s="6"/>
      <c r="L397" s="7" t="s">
        <v>22</v>
      </c>
      <c r="M397" s="6" t="s">
        <v>40</v>
      </c>
      <c r="N397" s="6"/>
      <c r="O397" s="6">
        <f>HYPERLINK("https://docs.wto.org/imrd/directdoc.asp?DDFDocuments/t/G/TBTN18/BRA826A8.DOCX", "https://docs.wto.org/imrd/directdoc.asp?DDFDocuments/t/G/TBTN18/BRA826A8.DOCX")</f>
      </c>
      <c r="P397" s="6">
        <f>HYPERLINK("https://docs.wto.org/imrd/directdoc.asp?DDFDocuments/u/G/TBTN18/BRA826A8.DOCX", "https://docs.wto.org/imrd/directdoc.asp?DDFDocuments/u/G/TBTN18/BRA826A8.DOCX")</f>
      </c>
      <c r="Q397" s="6">
        <f>HYPERLINK("https://docs.wto.org/imrd/directdoc.asp?DDFDocuments/v/G/TBTN18/BRA826A8.DOCX", "https://docs.wto.org/imrd/directdoc.asp?DDFDocuments/v/G/TBTN18/BRA826A8.DOCX")</f>
      </c>
    </row>
    <row r="398">
      <c r="A398" s="6" t="s">
        <v>82</v>
      </c>
      <c r="B398" s="7">
        <v>45628</v>
      </c>
      <c r="C398" s="9">
        <f>HYPERLINK("https://eping.wto.org/en/Search?viewData= G/TBT/N/BRA/1576"," G/TBT/N/BRA/1576")</f>
      </c>
      <c r="D398" s="8" t="s">
        <v>1849</v>
      </c>
      <c r="E398" s="8" t="s">
        <v>1850</v>
      </c>
      <c r="F398" s="8" t="s">
        <v>1791</v>
      </c>
      <c r="G398" s="8" t="s">
        <v>22</v>
      </c>
      <c r="H398" s="8" t="s">
        <v>1169</v>
      </c>
      <c r="I398" s="8" t="s">
        <v>39</v>
      </c>
      <c r="J398" s="8" t="s">
        <v>139</v>
      </c>
      <c r="K398" s="6"/>
      <c r="L398" s="7">
        <v>45722</v>
      </c>
      <c r="M398" s="6" t="s">
        <v>32</v>
      </c>
      <c r="N398" s="8" t="s">
        <v>1851</v>
      </c>
      <c r="O398" s="6">
        <f>HYPERLINK("https://docs.wto.org/imrd/directdoc.asp?DDFDocuments/t/G/TBTN24/BRA1576.DOCX", "https://docs.wto.org/imrd/directdoc.asp?DDFDocuments/t/G/TBTN24/BRA1576.DOCX")</f>
      </c>
      <c r="P398" s="6">
        <f>HYPERLINK("https://docs.wto.org/imrd/directdoc.asp?DDFDocuments/u/G/TBTN24/BRA1576.DOCX", "https://docs.wto.org/imrd/directdoc.asp?DDFDocuments/u/G/TBTN24/BRA1576.DOCX")</f>
      </c>
      <c r="Q398" s="6">
        <f>HYPERLINK("https://docs.wto.org/imrd/directdoc.asp?DDFDocuments/v/G/TBTN24/BRA1576.DOCX", "https://docs.wto.org/imrd/directdoc.asp?DDFDocuments/v/G/TBTN24/BRA1576.DOCX")</f>
      </c>
    </row>
    <row r="399">
      <c r="A399" s="6" t="s">
        <v>68</v>
      </c>
      <c r="B399" s="7">
        <v>45628</v>
      </c>
      <c r="C399" s="9">
        <f>HYPERLINK("https://eping.wto.org/en/Search?viewData= G/TBT/N/UGA/2048"," G/TBT/N/UGA/2048")</f>
      </c>
      <c r="D399" s="8" t="s">
        <v>1852</v>
      </c>
      <c r="E399" s="8" t="s">
        <v>1853</v>
      </c>
      <c r="F399" s="8" t="s">
        <v>1594</v>
      </c>
      <c r="G399" s="8" t="s">
        <v>1549</v>
      </c>
      <c r="H399" s="8" t="s">
        <v>866</v>
      </c>
      <c r="I399" s="8" t="s">
        <v>1067</v>
      </c>
      <c r="J399" s="8" t="s">
        <v>58</v>
      </c>
      <c r="K399" s="6"/>
      <c r="L399" s="7">
        <v>45688</v>
      </c>
      <c r="M399" s="6" t="s">
        <v>32</v>
      </c>
      <c r="N399" s="8" t="s">
        <v>1854</v>
      </c>
      <c r="O399" s="6">
        <f>HYPERLINK("https://docs.wto.org/imrd/directdoc.asp?DDFDocuments/t/G/TBTN24/UGA2048.DOCX", "https://docs.wto.org/imrd/directdoc.asp?DDFDocuments/t/G/TBTN24/UGA2048.DOCX")</f>
      </c>
      <c r="P399" s="6">
        <f>HYPERLINK("https://docs.wto.org/imrd/directdoc.asp?DDFDocuments/u/G/TBTN24/UGA2048.DOCX", "https://docs.wto.org/imrd/directdoc.asp?DDFDocuments/u/G/TBTN24/UGA2048.DOCX")</f>
      </c>
      <c r="Q399" s="6">
        <f>HYPERLINK("https://docs.wto.org/imrd/directdoc.asp?DDFDocuments/v/G/TBTN24/UGA2048.DOCX", "https://docs.wto.org/imrd/directdoc.asp?DDFDocuments/v/G/TBTN24/UGA2048.DOCX")</f>
      </c>
    </row>
    <row r="400">
      <c r="A400" s="6" t="s">
        <v>68</v>
      </c>
      <c r="B400" s="7">
        <v>45628</v>
      </c>
      <c r="C400" s="9">
        <f>HYPERLINK("https://eping.wto.org/en/Search?viewData= G/TBT/N/UGA/2051"," G/TBT/N/UGA/2051")</f>
      </c>
      <c r="D400" s="8" t="s">
        <v>1855</v>
      </c>
      <c r="E400" s="8" t="s">
        <v>1856</v>
      </c>
      <c r="F400" s="8" t="s">
        <v>1589</v>
      </c>
      <c r="G400" s="8" t="s">
        <v>1590</v>
      </c>
      <c r="H400" s="8" t="s">
        <v>866</v>
      </c>
      <c r="I400" s="8" t="s">
        <v>1067</v>
      </c>
      <c r="J400" s="8" t="s">
        <v>58</v>
      </c>
      <c r="K400" s="6"/>
      <c r="L400" s="7">
        <v>45688</v>
      </c>
      <c r="M400" s="6" t="s">
        <v>32</v>
      </c>
      <c r="N400" s="8" t="s">
        <v>1857</v>
      </c>
      <c r="O400" s="6">
        <f>HYPERLINK("https://docs.wto.org/imrd/directdoc.asp?DDFDocuments/t/G/TBTN24/UGA2051.DOCX", "https://docs.wto.org/imrd/directdoc.asp?DDFDocuments/t/G/TBTN24/UGA2051.DOCX")</f>
      </c>
      <c r="P400" s="6">
        <f>HYPERLINK("https://docs.wto.org/imrd/directdoc.asp?DDFDocuments/u/G/TBTN24/UGA2051.DOCX", "https://docs.wto.org/imrd/directdoc.asp?DDFDocuments/u/G/TBTN24/UGA2051.DOCX")</f>
      </c>
      <c r="Q400" s="6">
        <f>HYPERLINK("https://docs.wto.org/imrd/directdoc.asp?DDFDocuments/v/G/TBTN24/UGA2051.DOCX", "https://docs.wto.org/imrd/directdoc.asp?DDFDocuments/v/G/TBTN24/UGA2051.DOCX")</f>
      </c>
    </row>
    <row r="401">
      <c r="A401" s="6" t="s">
        <v>400</v>
      </c>
      <c r="B401" s="7">
        <v>45628</v>
      </c>
      <c r="C401" s="9">
        <f>HYPERLINK("https://eping.wto.org/en/Search?viewData= G/TBT/N/USA/2146/Add.1/Corr.1"," G/TBT/N/USA/2146/Add.1/Corr.1")</f>
      </c>
      <c r="D401" s="8" t="s">
        <v>1858</v>
      </c>
      <c r="E401" s="8" t="s">
        <v>1859</v>
      </c>
      <c r="F401" s="8" t="s">
        <v>1860</v>
      </c>
      <c r="G401" s="8" t="s">
        <v>22</v>
      </c>
      <c r="H401" s="8" t="s">
        <v>1861</v>
      </c>
      <c r="I401" s="8" t="s">
        <v>286</v>
      </c>
      <c r="J401" s="8" t="s">
        <v>22</v>
      </c>
      <c r="K401" s="6"/>
      <c r="L401" s="7" t="s">
        <v>22</v>
      </c>
      <c r="M401" s="6" t="s">
        <v>248</v>
      </c>
      <c r="N401" s="8" t="s">
        <v>1862</v>
      </c>
      <c r="O401" s="6">
        <f>HYPERLINK("https://docs.wto.org/imrd/directdoc.asp?DDFDocuments/t/G/TBTN24/USA2146A1C1.DOCX", "https://docs.wto.org/imrd/directdoc.asp?DDFDocuments/t/G/TBTN24/USA2146A1C1.DOCX")</f>
      </c>
      <c r="P401" s="6">
        <f>HYPERLINK("https://docs.wto.org/imrd/directdoc.asp?DDFDocuments/u/G/TBTN24/USA2146A1C1.DOCX", "https://docs.wto.org/imrd/directdoc.asp?DDFDocuments/u/G/TBTN24/USA2146A1C1.DOCX")</f>
      </c>
      <c r="Q401" s="6">
        <f>HYPERLINK("https://docs.wto.org/imrd/directdoc.asp?DDFDocuments/v/G/TBTN24/USA2146A1C1.DOCX", "https://docs.wto.org/imrd/directdoc.asp?DDFDocuments/v/G/TBTN24/USA2146A1C1.DOCX")</f>
      </c>
    </row>
    <row r="402">
      <c r="A402" s="6" t="s">
        <v>82</v>
      </c>
      <c r="B402" s="7">
        <v>45628</v>
      </c>
      <c r="C402" s="9">
        <f>HYPERLINK("https://eping.wto.org/en/Search?viewData= G/TBT/N/BRA/1575"," G/TBT/N/BRA/1575")</f>
      </c>
      <c r="D402" s="8" t="s">
        <v>1863</v>
      </c>
      <c r="E402" s="8" t="s">
        <v>1864</v>
      </c>
      <c r="F402" s="8" t="s">
        <v>1791</v>
      </c>
      <c r="G402" s="8" t="s">
        <v>22</v>
      </c>
      <c r="H402" s="8" t="s">
        <v>1169</v>
      </c>
      <c r="I402" s="8" t="s">
        <v>39</v>
      </c>
      <c r="J402" s="8" t="s">
        <v>139</v>
      </c>
      <c r="K402" s="6"/>
      <c r="L402" s="7">
        <v>45722</v>
      </c>
      <c r="M402" s="6" t="s">
        <v>32</v>
      </c>
      <c r="N402" s="8" t="s">
        <v>1865</v>
      </c>
      <c r="O402" s="6">
        <f>HYPERLINK("https://docs.wto.org/imrd/directdoc.asp?DDFDocuments/t/G/TBTN24/BRA1575.DOCX", "https://docs.wto.org/imrd/directdoc.asp?DDFDocuments/t/G/TBTN24/BRA1575.DOCX")</f>
      </c>
      <c r="P402" s="6">
        <f>HYPERLINK("https://docs.wto.org/imrd/directdoc.asp?DDFDocuments/u/G/TBTN24/BRA1575.DOCX", "https://docs.wto.org/imrd/directdoc.asp?DDFDocuments/u/G/TBTN24/BRA1575.DOCX")</f>
      </c>
      <c r="Q402" s="6">
        <f>HYPERLINK("https://docs.wto.org/imrd/directdoc.asp?DDFDocuments/v/G/TBTN24/BRA1575.DOCX", "https://docs.wto.org/imrd/directdoc.asp?DDFDocuments/v/G/TBTN24/BRA1575.DOCX")</f>
      </c>
    </row>
    <row r="403">
      <c r="A403" s="6" t="s">
        <v>82</v>
      </c>
      <c r="B403" s="7">
        <v>45628</v>
      </c>
      <c r="C403" s="9">
        <f>HYPERLINK("https://eping.wto.org/en/Search?viewData= G/TBT/N/BRA/1577"," G/TBT/N/BRA/1577")</f>
      </c>
      <c r="D403" s="8" t="s">
        <v>1866</v>
      </c>
      <c r="E403" s="8" t="s">
        <v>1867</v>
      </c>
      <c r="F403" s="8" t="s">
        <v>1791</v>
      </c>
      <c r="G403" s="8" t="s">
        <v>22</v>
      </c>
      <c r="H403" s="8" t="s">
        <v>1169</v>
      </c>
      <c r="I403" s="8" t="s">
        <v>39</v>
      </c>
      <c r="J403" s="8" t="s">
        <v>139</v>
      </c>
      <c r="K403" s="6"/>
      <c r="L403" s="7">
        <v>45722</v>
      </c>
      <c r="M403" s="6" t="s">
        <v>32</v>
      </c>
      <c r="N403" s="8" t="s">
        <v>1868</v>
      </c>
      <c r="O403" s="6">
        <f>HYPERLINK("https://docs.wto.org/imrd/directdoc.asp?DDFDocuments/t/G/TBTN24/BRA1577.DOCX", "https://docs.wto.org/imrd/directdoc.asp?DDFDocuments/t/G/TBTN24/BRA1577.DOCX")</f>
      </c>
      <c r="P403" s="6">
        <f>HYPERLINK("https://docs.wto.org/imrd/directdoc.asp?DDFDocuments/u/G/TBTN24/BRA1577.DOCX", "https://docs.wto.org/imrd/directdoc.asp?DDFDocuments/u/G/TBTN24/BRA1577.DOCX")</f>
      </c>
      <c r="Q403" s="6">
        <f>HYPERLINK("https://docs.wto.org/imrd/directdoc.asp?DDFDocuments/v/G/TBTN24/BRA1577.DOCX", "https://docs.wto.org/imrd/directdoc.asp?DDFDocuments/v/G/TBTN24/BRA1577.DOCX")</f>
      </c>
    </row>
    <row r="404">
      <c r="A404" s="6" t="s">
        <v>374</v>
      </c>
      <c r="B404" s="7">
        <v>45628</v>
      </c>
      <c r="C404" s="9">
        <f>HYPERLINK("https://eping.wto.org/en/Search?viewData= G/TBT/N/CRI/203"," G/TBT/N/CRI/203")</f>
      </c>
      <c r="D404" s="8" t="s">
        <v>1869</v>
      </c>
      <c r="E404" s="8" t="s">
        <v>1870</v>
      </c>
      <c r="F404" s="8" t="s">
        <v>1871</v>
      </c>
      <c r="G404" s="8" t="s">
        <v>721</v>
      </c>
      <c r="H404" s="8" t="s">
        <v>1169</v>
      </c>
      <c r="I404" s="8" t="s">
        <v>39</v>
      </c>
      <c r="J404" s="8" t="s">
        <v>139</v>
      </c>
      <c r="K404" s="6"/>
      <c r="L404" s="7">
        <v>45688</v>
      </c>
      <c r="M404" s="6" t="s">
        <v>32</v>
      </c>
      <c r="N404" s="8" t="s">
        <v>1872</v>
      </c>
      <c r="O404" s="6">
        <f>HYPERLINK("https://docs.wto.org/imrd/directdoc.asp?DDFDocuments/t/G/TBTN24/CRI203.DOCX", "https://docs.wto.org/imrd/directdoc.asp?DDFDocuments/t/G/TBTN24/CRI203.DOCX")</f>
      </c>
      <c r="P404" s="6">
        <f>HYPERLINK("https://docs.wto.org/imrd/directdoc.asp?DDFDocuments/u/G/TBTN24/CRI203.DOCX", "https://docs.wto.org/imrd/directdoc.asp?DDFDocuments/u/G/TBTN24/CRI203.DOCX")</f>
      </c>
      <c r="Q404" s="6">
        <f>HYPERLINK("https://docs.wto.org/imrd/directdoc.asp?DDFDocuments/v/G/TBTN24/CRI203.DOCX", "https://docs.wto.org/imrd/directdoc.asp?DDFDocuments/v/G/TBTN24/CRI203.DOCX")</f>
      </c>
    </row>
    <row r="405">
      <c r="A405" s="6" t="s">
        <v>68</v>
      </c>
      <c r="B405" s="7">
        <v>45628</v>
      </c>
      <c r="C405" s="9">
        <f>HYPERLINK("https://eping.wto.org/en/Search?viewData= G/TBT/N/UGA/2049"," G/TBT/N/UGA/2049")</f>
      </c>
      <c r="D405" s="8" t="s">
        <v>1873</v>
      </c>
      <c r="E405" s="8" t="s">
        <v>1874</v>
      </c>
      <c r="F405" s="8" t="s">
        <v>1548</v>
      </c>
      <c r="G405" s="8" t="s">
        <v>1549</v>
      </c>
      <c r="H405" s="8" t="s">
        <v>866</v>
      </c>
      <c r="I405" s="8" t="s">
        <v>1067</v>
      </c>
      <c r="J405" s="8" t="s">
        <v>58</v>
      </c>
      <c r="K405" s="6"/>
      <c r="L405" s="7">
        <v>45688</v>
      </c>
      <c r="M405" s="6" t="s">
        <v>32</v>
      </c>
      <c r="N405" s="8" t="s">
        <v>1875</v>
      </c>
      <c r="O405" s="6">
        <f>HYPERLINK("https://docs.wto.org/imrd/directdoc.asp?DDFDocuments/t/G/TBTN24/UGA2049.DOCX", "https://docs.wto.org/imrd/directdoc.asp?DDFDocuments/t/G/TBTN24/UGA2049.DOCX")</f>
      </c>
      <c r="P405" s="6">
        <f>HYPERLINK("https://docs.wto.org/imrd/directdoc.asp?DDFDocuments/u/G/TBTN24/UGA2049.DOCX", "https://docs.wto.org/imrd/directdoc.asp?DDFDocuments/u/G/TBTN24/UGA2049.DOCX")</f>
      </c>
      <c r="Q405" s="6">
        <f>HYPERLINK("https://docs.wto.org/imrd/directdoc.asp?DDFDocuments/v/G/TBTN24/UGA2049.DOCX", "https://docs.wto.org/imrd/directdoc.asp?DDFDocuments/v/G/TBTN24/UGA2049.DOCX")</f>
      </c>
    </row>
    <row r="406">
      <c r="A406" s="6" t="s">
        <v>400</v>
      </c>
      <c r="B406" s="7">
        <v>45628</v>
      </c>
      <c r="C406" s="9">
        <f>HYPERLINK("https://eping.wto.org/en/Search?viewData= G/TBT/N/USA/2163"," G/TBT/N/USA/2163")</f>
      </c>
      <c r="D406" s="8" t="s">
        <v>1876</v>
      </c>
      <c r="E406" s="8" t="s">
        <v>1877</v>
      </c>
      <c r="F406" s="8" t="s">
        <v>1218</v>
      </c>
      <c r="G406" s="8" t="s">
        <v>22</v>
      </c>
      <c r="H406" s="8" t="s">
        <v>816</v>
      </c>
      <c r="I406" s="8" t="s">
        <v>411</v>
      </c>
      <c r="J406" s="8" t="s">
        <v>22</v>
      </c>
      <c r="K406" s="6"/>
      <c r="L406" s="7">
        <v>45656</v>
      </c>
      <c r="M406" s="6" t="s">
        <v>32</v>
      </c>
      <c r="N406" s="8" t="s">
        <v>1878</v>
      </c>
      <c r="O406" s="6">
        <f>HYPERLINK("https://docs.wto.org/imrd/directdoc.asp?DDFDocuments/t/G/TBTN24/USA2163.DOCX", "https://docs.wto.org/imrd/directdoc.asp?DDFDocuments/t/G/TBTN24/USA2163.DOCX")</f>
      </c>
      <c r="P406" s="6">
        <f>HYPERLINK("https://docs.wto.org/imrd/directdoc.asp?DDFDocuments/u/G/TBTN24/USA2163.DOCX", "https://docs.wto.org/imrd/directdoc.asp?DDFDocuments/u/G/TBTN24/USA2163.DOCX")</f>
      </c>
      <c r="Q406" s="6">
        <f>HYPERLINK("https://docs.wto.org/imrd/directdoc.asp?DDFDocuments/v/G/TBTN24/USA2163.DOCX", "https://docs.wto.org/imrd/directdoc.asp?DDFDocuments/v/G/TBTN24/USA2163.DOCX")</f>
      </c>
    </row>
    <row r="407">
      <c r="A407" s="6" t="s">
        <v>400</v>
      </c>
      <c r="B407" s="7">
        <v>45628</v>
      </c>
      <c r="C407" s="9">
        <f>HYPERLINK("https://eping.wto.org/en/Search?viewData= G/TBT/N/USA/1949/Add.2"," G/TBT/N/USA/1949/Add.2")</f>
      </c>
      <c r="D407" s="8" t="s">
        <v>1879</v>
      </c>
      <c r="E407" s="8" t="s">
        <v>1880</v>
      </c>
      <c r="F407" s="8" t="s">
        <v>1218</v>
      </c>
      <c r="G407" s="8" t="s">
        <v>22</v>
      </c>
      <c r="H407" s="8" t="s">
        <v>1881</v>
      </c>
      <c r="I407" s="8" t="s">
        <v>1482</v>
      </c>
      <c r="J407" s="8" t="s">
        <v>22</v>
      </c>
      <c r="K407" s="6"/>
      <c r="L407" s="7">
        <v>45656</v>
      </c>
      <c r="M407" s="6" t="s">
        <v>40</v>
      </c>
      <c r="N407" s="8" t="s">
        <v>1882</v>
      </c>
      <c r="O407" s="6">
        <f>HYPERLINK("https://docs.wto.org/imrd/directdoc.asp?DDFDocuments/t/G/TBTN22/USA1949A2.DOCX", "https://docs.wto.org/imrd/directdoc.asp?DDFDocuments/t/G/TBTN22/USA1949A2.DOCX")</f>
      </c>
      <c r="P407" s="6">
        <f>HYPERLINK("https://docs.wto.org/imrd/directdoc.asp?DDFDocuments/u/G/TBTN22/USA1949A2.DOCX", "https://docs.wto.org/imrd/directdoc.asp?DDFDocuments/u/G/TBTN22/USA1949A2.DOCX")</f>
      </c>
      <c r="Q407" s="6">
        <f>HYPERLINK("https://docs.wto.org/imrd/directdoc.asp?DDFDocuments/v/G/TBTN22/USA1949A2.DOCX", "https://docs.wto.org/imrd/directdoc.asp?DDFDocuments/v/G/TBTN22/USA1949A2.DOCX")</f>
      </c>
    </row>
    <row r="408">
      <c r="A408" s="6" t="s">
        <v>496</v>
      </c>
      <c r="B408" s="7">
        <v>45628</v>
      </c>
      <c r="C408" s="9">
        <f>HYPERLINK("https://eping.wto.org/en/Search?viewData= G/SPS/N/GBR/73"," G/SPS/N/GBR/73")</f>
      </c>
      <c r="D408" s="8" t="s">
        <v>1883</v>
      </c>
      <c r="E408" s="8" t="s">
        <v>1884</v>
      </c>
      <c r="F408" s="8" t="s">
        <v>1885</v>
      </c>
      <c r="G408" s="8" t="s">
        <v>22</v>
      </c>
      <c r="H408" s="8" t="s">
        <v>22</v>
      </c>
      <c r="I408" s="8" t="s">
        <v>120</v>
      </c>
      <c r="J408" s="8" t="s">
        <v>121</v>
      </c>
      <c r="K408" s="6" t="s">
        <v>22</v>
      </c>
      <c r="L408" s="7" t="s">
        <v>22</v>
      </c>
      <c r="M408" s="6" t="s">
        <v>32</v>
      </c>
      <c r="N408" s="8" t="s">
        <v>1886</v>
      </c>
      <c r="O408" s="6">
        <f>HYPERLINK("https://docs.wto.org/imrd/directdoc.asp?DDFDocuments/t/G/SPS/NGBR73.DOCX", "https://docs.wto.org/imrd/directdoc.asp?DDFDocuments/t/G/SPS/NGBR73.DOCX")</f>
      </c>
      <c r="P408" s="6">
        <f>HYPERLINK("https://docs.wto.org/imrd/directdoc.asp?DDFDocuments/u/G/SPS/NGBR73.DOCX", "https://docs.wto.org/imrd/directdoc.asp?DDFDocuments/u/G/SPS/NGBR73.DOCX")</f>
      </c>
      <c r="Q408" s="6">
        <f>HYPERLINK("https://docs.wto.org/imrd/directdoc.asp?DDFDocuments/v/G/SPS/NGBR73.DOCX", "https://docs.wto.org/imrd/directdoc.asp?DDFDocuments/v/G/SPS/NGBR73.DOCX")</f>
      </c>
    </row>
    <row r="409">
      <c r="A409" s="6" t="s">
        <v>68</v>
      </c>
      <c r="B409" s="7">
        <v>45628</v>
      </c>
      <c r="C409" s="9">
        <f>HYPERLINK("https://eping.wto.org/en/Search?viewData= G/TBT/N/UGA/2052"," G/TBT/N/UGA/2052")</f>
      </c>
      <c r="D409" s="8" t="s">
        <v>1577</v>
      </c>
      <c r="E409" s="8" t="s">
        <v>1887</v>
      </c>
      <c r="F409" s="8" t="s">
        <v>1888</v>
      </c>
      <c r="G409" s="8" t="s">
        <v>1549</v>
      </c>
      <c r="H409" s="8" t="s">
        <v>866</v>
      </c>
      <c r="I409" s="8" t="s">
        <v>1067</v>
      </c>
      <c r="J409" s="8" t="s">
        <v>58</v>
      </c>
      <c r="K409" s="6"/>
      <c r="L409" s="7">
        <v>45688</v>
      </c>
      <c r="M409" s="6" t="s">
        <v>32</v>
      </c>
      <c r="N409" s="8" t="s">
        <v>1889</v>
      </c>
      <c r="O409" s="6">
        <f>HYPERLINK("https://docs.wto.org/imrd/directdoc.asp?DDFDocuments/t/G/TBTN24/UGA2052.DOCX", "https://docs.wto.org/imrd/directdoc.asp?DDFDocuments/t/G/TBTN24/UGA2052.DOCX")</f>
      </c>
      <c r="P409" s="6">
        <f>HYPERLINK("https://docs.wto.org/imrd/directdoc.asp?DDFDocuments/u/G/TBTN24/UGA2052.DOCX", "https://docs.wto.org/imrd/directdoc.asp?DDFDocuments/u/G/TBTN24/UGA2052.DOCX")</f>
      </c>
      <c r="Q409" s="6">
        <f>HYPERLINK("https://docs.wto.org/imrd/directdoc.asp?DDFDocuments/v/G/TBTN24/UGA2052.DOCX", "https://docs.wto.org/imrd/directdoc.asp?DDFDocuments/v/G/TBTN24/UGA2052.DOCX")</f>
      </c>
    </row>
    <row r="410">
      <c r="A410" s="6" t="s">
        <v>1890</v>
      </c>
      <c r="B410" s="7">
        <v>45628</v>
      </c>
      <c r="C410" s="9">
        <f>HYPERLINK("https://eping.wto.org/en/Search?viewData= G/SPS/N/RUS/188/Add.4"," G/SPS/N/RUS/188/Add.4")</f>
      </c>
      <c r="D410" s="8" t="s">
        <v>1891</v>
      </c>
      <c r="E410" s="8" t="s">
        <v>1892</v>
      </c>
      <c r="F410" s="8" t="s">
        <v>1893</v>
      </c>
      <c r="G410" s="8" t="s">
        <v>1894</v>
      </c>
      <c r="H410" s="8" t="s">
        <v>22</v>
      </c>
      <c r="I410" s="8" t="s">
        <v>371</v>
      </c>
      <c r="J410" s="8" t="s">
        <v>1895</v>
      </c>
      <c r="K410" s="6"/>
      <c r="L410" s="7" t="s">
        <v>22</v>
      </c>
      <c r="M410" s="6" t="s">
        <v>24</v>
      </c>
      <c r="N410" s="8" t="s">
        <v>1896</v>
      </c>
      <c r="O410" s="6">
        <f>HYPERLINK("https://docs.wto.org/imrd/directdoc.asp?DDFDocuments/t/G/SPS/NRUS188A4.DOCX", "https://docs.wto.org/imrd/directdoc.asp?DDFDocuments/t/G/SPS/NRUS188A4.DOCX")</f>
      </c>
      <c r="P410" s="6">
        <f>HYPERLINK("https://docs.wto.org/imrd/directdoc.asp?DDFDocuments/u/G/SPS/NRUS188A4.DOCX", "https://docs.wto.org/imrd/directdoc.asp?DDFDocuments/u/G/SPS/NRUS188A4.DOCX")</f>
      </c>
      <c r="Q410" s="6">
        <f>HYPERLINK("https://docs.wto.org/imrd/directdoc.asp?DDFDocuments/v/G/SPS/NRUS188A4.DOCX", "https://docs.wto.org/imrd/directdoc.asp?DDFDocuments/v/G/SPS/NRUS188A4.DOCX")</f>
      </c>
    </row>
    <row r="411">
      <c r="A411" s="6" t="s">
        <v>68</v>
      </c>
      <c r="B411" s="7">
        <v>45628</v>
      </c>
      <c r="C411" s="9">
        <f>HYPERLINK("https://eping.wto.org/en/Search?viewData= G/TBT/N/UGA/2050"," G/TBT/N/UGA/2050")</f>
      </c>
      <c r="D411" s="8" t="s">
        <v>1897</v>
      </c>
      <c r="E411" s="8" t="s">
        <v>1898</v>
      </c>
      <c r="F411" s="8" t="s">
        <v>1899</v>
      </c>
      <c r="G411" s="8" t="s">
        <v>1554</v>
      </c>
      <c r="H411" s="8" t="s">
        <v>866</v>
      </c>
      <c r="I411" s="8" t="s">
        <v>1067</v>
      </c>
      <c r="J411" s="8" t="s">
        <v>58</v>
      </c>
      <c r="K411" s="6"/>
      <c r="L411" s="7">
        <v>45688</v>
      </c>
      <c r="M411" s="6" t="s">
        <v>32</v>
      </c>
      <c r="N411" s="8" t="s">
        <v>1900</v>
      </c>
      <c r="O411" s="6">
        <f>HYPERLINK("https://docs.wto.org/imrd/directdoc.asp?DDFDocuments/t/G/TBTN24/UGA2050.DOCX", "https://docs.wto.org/imrd/directdoc.asp?DDFDocuments/t/G/TBTN24/UGA2050.DOCX")</f>
      </c>
      <c r="P411" s="6">
        <f>HYPERLINK("https://docs.wto.org/imrd/directdoc.asp?DDFDocuments/u/G/TBTN24/UGA2050.DOCX", "https://docs.wto.org/imrd/directdoc.asp?DDFDocuments/u/G/TBTN24/UGA2050.DOCX")</f>
      </c>
      <c r="Q411" s="6">
        <f>HYPERLINK("https://docs.wto.org/imrd/directdoc.asp?DDFDocuments/v/G/TBTN24/UGA2050.DOCX", "https://docs.wto.org/imrd/directdoc.asp?DDFDocuments/v/G/TBTN24/UGA2050.DOCX")</f>
      </c>
    </row>
    <row r="412">
      <c r="A412" s="6" t="s">
        <v>82</v>
      </c>
      <c r="B412" s="7">
        <v>45628</v>
      </c>
      <c r="C412" s="9">
        <f>HYPERLINK("https://eping.wto.org/en/Search?viewData= G/SPS/N/BRA/2327/Add.1"," G/SPS/N/BRA/2327/Add.1")</f>
      </c>
      <c r="D412" s="8" t="s">
        <v>1901</v>
      </c>
      <c r="E412" s="8" t="s">
        <v>1902</v>
      </c>
      <c r="F412" s="8" t="s">
        <v>212</v>
      </c>
      <c r="G412" s="8" t="s">
        <v>22</v>
      </c>
      <c r="H412" s="8" t="s">
        <v>213</v>
      </c>
      <c r="I412" s="8" t="s">
        <v>120</v>
      </c>
      <c r="J412" s="8" t="s">
        <v>1903</v>
      </c>
      <c r="K412" s="6"/>
      <c r="L412" s="7">
        <v>45688</v>
      </c>
      <c r="M412" s="6" t="s">
        <v>40</v>
      </c>
      <c r="N412" s="8" t="s">
        <v>1904</v>
      </c>
      <c r="O412" s="6">
        <f>HYPERLINK("https://docs.wto.org/imrd/directdoc.asp?DDFDocuments/t/G/SPS/NBRA2327A1.DOCX", "https://docs.wto.org/imrd/directdoc.asp?DDFDocuments/t/G/SPS/NBRA2327A1.DOCX")</f>
      </c>
      <c r="P412" s="6">
        <f>HYPERLINK("https://docs.wto.org/imrd/directdoc.asp?DDFDocuments/u/G/SPS/NBRA2327A1.DOCX", "https://docs.wto.org/imrd/directdoc.asp?DDFDocuments/u/G/SPS/NBRA2327A1.DOCX")</f>
      </c>
      <c r="Q412" s="6">
        <f>HYPERLINK("https://docs.wto.org/imrd/directdoc.asp?DDFDocuments/v/G/SPS/NBRA2327A1.DOCX", "https://docs.wto.org/imrd/directdoc.asp?DDFDocuments/v/G/SPS/NBRA2327A1.DOCX")</f>
      </c>
    </row>
    <row r="413">
      <c r="A413" s="6" t="s">
        <v>418</v>
      </c>
      <c r="B413" s="7">
        <v>45628</v>
      </c>
      <c r="C413" s="9">
        <f>HYPERLINK("https://eping.wto.org/en/Search?viewData= G/TBT/N/EU/1099"," G/TBT/N/EU/1099")</f>
      </c>
      <c r="D413" s="8" t="s">
        <v>1905</v>
      </c>
      <c r="E413" s="8" t="s">
        <v>1906</v>
      </c>
      <c r="F413" s="8" t="s">
        <v>1724</v>
      </c>
      <c r="G413" s="8" t="s">
        <v>22</v>
      </c>
      <c r="H413" s="8" t="s">
        <v>1725</v>
      </c>
      <c r="I413" s="8" t="s">
        <v>292</v>
      </c>
      <c r="J413" s="8" t="s">
        <v>22</v>
      </c>
      <c r="K413" s="6"/>
      <c r="L413" s="7">
        <v>45688</v>
      </c>
      <c r="M413" s="6" t="s">
        <v>32</v>
      </c>
      <c r="N413" s="8" t="s">
        <v>1907</v>
      </c>
      <c r="O413" s="6">
        <f>HYPERLINK("https://docs.wto.org/imrd/directdoc.asp?DDFDocuments/t/G/TBTN24/EU1099.DOCX", "https://docs.wto.org/imrd/directdoc.asp?DDFDocuments/t/G/TBTN24/EU1099.DOCX")</f>
      </c>
      <c r="P413" s="6">
        <f>HYPERLINK("https://docs.wto.org/imrd/directdoc.asp?DDFDocuments/u/G/TBTN24/EU1099.DOCX", "https://docs.wto.org/imrd/directdoc.asp?DDFDocuments/u/G/TBTN24/EU1099.DOCX")</f>
      </c>
      <c r="Q413" s="6">
        <f>HYPERLINK("https://docs.wto.org/imrd/directdoc.asp?DDFDocuments/v/G/TBTN24/EU1099.DOCX", "https://docs.wto.org/imrd/directdoc.asp?DDFDocuments/v/G/TBTN24/EU1099.DOCX")</f>
      </c>
    </row>
    <row r="414">
      <c r="A414" s="6" t="s">
        <v>68</v>
      </c>
      <c r="B414" s="7">
        <v>45628</v>
      </c>
      <c r="C414" s="9">
        <f>HYPERLINK("https://eping.wto.org/en/Search?viewData= G/TBT/N/UGA/2053"," G/TBT/N/UGA/2053")</f>
      </c>
      <c r="D414" s="8" t="s">
        <v>1908</v>
      </c>
      <c r="E414" s="8" t="s">
        <v>1909</v>
      </c>
      <c r="F414" s="8" t="s">
        <v>1598</v>
      </c>
      <c r="G414" s="8" t="s">
        <v>1599</v>
      </c>
      <c r="H414" s="8" t="s">
        <v>866</v>
      </c>
      <c r="I414" s="8" t="s">
        <v>1067</v>
      </c>
      <c r="J414" s="8" t="s">
        <v>58</v>
      </c>
      <c r="K414" s="6"/>
      <c r="L414" s="7">
        <v>45688</v>
      </c>
      <c r="M414" s="6" t="s">
        <v>32</v>
      </c>
      <c r="N414" s="8" t="s">
        <v>1910</v>
      </c>
      <c r="O414" s="6">
        <f>HYPERLINK("https://docs.wto.org/imrd/directdoc.asp?DDFDocuments/t/G/TBTN24/UGA2053.DOCX", "https://docs.wto.org/imrd/directdoc.asp?DDFDocuments/t/G/TBTN24/UGA2053.DOCX")</f>
      </c>
      <c r="P414" s="6">
        <f>HYPERLINK("https://docs.wto.org/imrd/directdoc.asp?DDFDocuments/u/G/TBTN24/UGA2053.DOCX", "https://docs.wto.org/imrd/directdoc.asp?DDFDocuments/u/G/TBTN24/UGA2053.DOCX")</f>
      </c>
      <c r="Q414" s="6">
        <f>HYPERLINK("https://docs.wto.org/imrd/directdoc.asp?DDFDocuments/v/G/TBTN24/UGA2053.DOCX", "https://docs.wto.org/imrd/directdoc.asp?DDFDocuments/v/G/TBTN24/UGA2053.DOCX")</f>
      </c>
    </row>
    <row r="415">
      <c r="A415" s="6" t="s">
        <v>17</v>
      </c>
      <c r="B415" s="7">
        <v>45625</v>
      </c>
      <c r="C415" s="9">
        <f>HYPERLINK("https://eping.wto.org/en/Search?viewData= G/TBT/N/KOR/1241"," G/TBT/N/KOR/1241")</f>
      </c>
      <c r="D415" s="8" t="s">
        <v>1911</v>
      </c>
      <c r="E415" s="8" t="s">
        <v>1912</v>
      </c>
      <c r="F415" s="8" t="s">
        <v>1913</v>
      </c>
      <c r="G415" s="8" t="s">
        <v>22</v>
      </c>
      <c r="H415" s="8" t="s">
        <v>1914</v>
      </c>
      <c r="I415" s="8" t="s">
        <v>138</v>
      </c>
      <c r="J415" s="8" t="s">
        <v>139</v>
      </c>
      <c r="K415" s="6"/>
      <c r="L415" s="7">
        <v>45635</v>
      </c>
      <c r="M415" s="6" t="s">
        <v>32</v>
      </c>
      <c r="N415" s="8" t="s">
        <v>1915</v>
      </c>
      <c r="O415" s="6">
        <f>HYPERLINK("https://docs.wto.org/imrd/directdoc.asp?DDFDocuments/t/G/TBTN24/KOR1241.DOCX", "https://docs.wto.org/imrd/directdoc.asp?DDFDocuments/t/G/TBTN24/KOR1241.DOCX")</f>
      </c>
      <c r="P415" s="6">
        <f>HYPERLINK("https://docs.wto.org/imrd/directdoc.asp?DDFDocuments/u/G/TBTN24/KOR1241.DOCX", "https://docs.wto.org/imrd/directdoc.asp?DDFDocuments/u/G/TBTN24/KOR1241.DOCX")</f>
      </c>
      <c r="Q415" s="6">
        <f>HYPERLINK("https://docs.wto.org/imrd/directdoc.asp?DDFDocuments/v/G/TBTN24/KOR1241.DOCX", "https://docs.wto.org/imrd/directdoc.asp?DDFDocuments/v/G/TBTN24/KOR1241.DOCX")</f>
      </c>
    </row>
    <row r="416">
      <c r="A416" s="6" t="s">
        <v>472</v>
      </c>
      <c r="B416" s="7">
        <v>45625</v>
      </c>
      <c r="C416" s="9">
        <f>HYPERLINK("https://eping.wto.org/en/Search?viewData= G/SPS/N/JPN/1317"," G/SPS/N/JPN/1317")</f>
      </c>
      <c r="D416" s="8" t="s">
        <v>1916</v>
      </c>
      <c r="E416" s="8" t="s">
        <v>1917</v>
      </c>
      <c r="F416" s="8" t="s">
        <v>1918</v>
      </c>
      <c r="G416" s="8" t="s">
        <v>1919</v>
      </c>
      <c r="H416" s="8" t="s">
        <v>22</v>
      </c>
      <c r="I416" s="8" t="s">
        <v>175</v>
      </c>
      <c r="J416" s="8" t="s">
        <v>1920</v>
      </c>
      <c r="K416" s="6" t="s">
        <v>22</v>
      </c>
      <c r="L416" s="7" t="s">
        <v>22</v>
      </c>
      <c r="M416" s="6" t="s">
        <v>32</v>
      </c>
      <c r="N416" s="8" t="s">
        <v>1921</v>
      </c>
      <c r="O416" s="6">
        <f>HYPERLINK("https://docs.wto.org/imrd/directdoc.asp?DDFDocuments/t/G/SPS/NJPN1317.DOCX", "https://docs.wto.org/imrd/directdoc.asp?DDFDocuments/t/G/SPS/NJPN1317.DOCX")</f>
      </c>
      <c r="P416" s="6">
        <f>HYPERLINK("https://docs.wto.org/imrd/directdoc.asp?DDFDocuments/u/G/SPS/NJPN1317.DOCX", "https://docs.wto.org/imrd/directdoc.asp?DDFDocuments/u/G/SPS/NJPN1317.DOCX")</f>
      </c>
      <c r="Q416" s="6">
        <f>HYPERLINK("https://docs.wto.org/imrd/directdoc.asp?DDFDocuments/v/G/SPS/NJPN1317.DOCX", "https://docs.wto.org/imrd/directdoc.asp?DDFDocuments/v/G/SPS/NJPN1317.DOCX")</f>
      </c>
    </row>
    <row r="417">
      <c r="A417" s="6" t="s">
        <v>17</v>
      </c>
      <c r="B417" s="7">
        <v>45625</v>
      </c>
      <c r="C417" s="9">
        <f>HYPERLINK("https://eping.wto.org/en/Search?viewData= G/TBT/N/KOR/1240"," G/TBT/N/KOR/1240")</f>
      </c>
      <c r="D417" s="8" t="s">
        <v>1922</v>
      </c>
      <c r="E417" s="8" t="s">
        <v>1923</v>
      </c>
      <c r="F417" s="8" t="s">
        <v>1913</v>
      </c>
      <c r="G417" s="8" t="s">
        <v>22</v>
      </c>
      <c r="H417" s="8" t="s">
        <v>1924</v>
      </c>
      <c r="I417" s="8" t="s">
        <v>138</v>
      </c>
      <c r="J417" s="8" t="s">
        <v>139</v>
      </c>
      <c r="K417" s="6"/>
      <c r="L417" s="7">
        <v>45635</v>
      </c>
      <c r="M417" s="6" t="s">
        <v>32</v>
      </c>
      <c r="N417" s="8" t="s">
        <v>1925</v>
      </c>
      <c r="O417" s="6">
        <f>HYPERLINK("https://docs.wto.org/imrd/directdoc.asp?DDFDocuments/t/G/TBTN24/KOR1240.DOCX", "https://docs.wto.org/imrd/directdoc.asp?DDFDocuments/t/G/TBTN24/KOR1240.DOCX")</f>
      </c>
      <c r="P417" s="6">
        <f>HYPERLINK("https://docs.wto.org/imrd/directdoc.asp?DDFDocuments/u/G/TBTN24/KOR1240.DOCX", "https://docs.wto.org/imrd/directdoc.asp?DDFDocuments/u/G/TBTN24/KOR1240.DOCX")</f>
      </c>
      <c r="Q417" s="6">
        <f>HYPERLINK("https://docs.wto.org/imrd/directdoc.asp?DDFDocuments/v/G/TBTN24/KOR1240.DOCX", "https://docs.wto.org/imrd/directdoc.asp?DDFDocuments/v/G/TBTN24/KOR1240.DOCX")</f>
      </c>
    </row>
    <row r="418">
      <c r="A418" s="6" t="s">
        <v>472</v>
      </c>
      <c r="B418" s="7">
        <v>45625</v>
      </c>
      <c r="C418" s="9">
        <f>HYPERLINK("https://eping.wto.org/en/Search?viewData= G/TBT/N/JPN/844"," G/TBT/N/JPN/844")</f>
      </c>
      <c r="D418" s="8" t="s">
        <v>1926</v>
      </c>
      <c r="E418" s="8" t="s">
        <v>1927</v>
      </c>
      <c r="F418" s="8" t="s">
        <v>1928</v>
      </c>
      <c r="G418" s="8" t="s">
        <v>22</v>
      </c>
      <c r="H418" s="8" t="s">
        <v>556</v>
      </c>
      <c r="I418" s="8" t="s">
        <v>1929</v>
      </c>
      <c r="J418" s="8" t="s">
        <v>1498</v>
      </c>
      <c r="K418" s="6"/>
      <c r="L418" s="7" t="s">
        <v>22</v>
      </c>
      <c r="M418" s="6" t="s">
        <v>32</v>
      </c>
      <c r="N418" s="8" t="s">
        <v>1930</v>
      </c>
      <c r="O418" s="6">
        <f>HYPERLINK("https://docs.wto.org/imrd/directdoc.asp?DDFDocuments/t/G/TBTN24/JPN844.DOCX", "https://docs.wto.org/imrd/directdoc.asp?DDFDocuments/t/G/TBTN24/JPN844.DOCX")</f>
      </c>
      <c r="P418" s="6">
        <f>HYPERLINK("https://docs.wto.org/imrd/directdoc.asp?DDFDocuments/u/G/TBTN24/JPN844.DOCX", "https://docs.wto.org/imrd/directdoc.asp?DDFDocuments/u/G/TBTN24/JPN844.DOCX")</f>
      </c>
      <c r="Q418" s="6">
        <f>HYPERLINK("https://docs.wto.org/imrd/directdoc.asp?DDFDocuments/v/G/TBTN24/JPN844.DOCX", "https://docs.wto.org/imrd/directdoc.asp?DDFDocuments/v/G/TBTN24/JPN844.DOCX")</f>
      </c>
    </row>
    <row r="419">
      <c r="A419" s="6" t="s">
        <v>400</v>
      </c>
      <c r="B419" s="7">
        <v>45624</v>
      </c>
      <c r="C419" s="9">
        <f>HYPERLINK("https://eping.wto.org/en/Search?viewData= G/TBT/N/USA/1434/Add.3"," G/TBT/N/USA/1434/Add.3")</f>
      </c>
      <c r="D419" s="8" t="s">
        <v>1931</v>
      </c>
      <c r="E419" s="8" t="s">
        <v>1932</v>
      </c>
      <c r="F419" s="8" t="s">
        <v>1933</v>
      </c>
      <c r="G419" s="8" t="s">
        <v>22</v>
      </c>
      <c r="H419" s="8" t="s">
        <v>1934</v>
      </c>
      <c r="I419" s="8" t="s">
        <v>701</v>
      </c>
      <c r="J419" s="8" t="s">
        <v>761</v>
      </c>
      <c r="K419" s="6"/>
      <c r="L419" s="7">
        <v>45653</v>
      </c>
      <c r="M419" s="6" t="s">
        <v>40</v>
      </c>
      <c r="N419" s="8" t="s">
        <v>1935</v>
      </c>
      <c r="O419" s="6">
        <f>HYPERLINK("https://docs.wto.org/imrd/directdoc.asp?DDFDocuments/t/G/TBTN18/USA1434A3.DOCX", "https://docs.wto.org/imrd/directdoc.asp?DDFDocuments/t/G/TBTN18/USA1434A3.DOCX")</f>
      </c>
      <c r="P419" s="6">
        <f>HYPERLINK("https://docs.wto.org/imrd/directdoc.asp?DDFDocuments/u/G/TBTN18/USA1434A3.DOCX", "https://docs.wto.org/imrd/directdoc.asp?DDFDocuments/u/G/TBTN18/USA1434A3.DOCX")</f>
      </c>
      <c r="Q419" s="6">
        <f>HYPERLINK("https://docs.wto.org/imrd/directdoc.asp?DDFDocuments/v/G/TBTN18/USA1434A3.DOCX", "https://docs.wto.org/imrd/directdoc.asp?DDFDocuments/v/G/TBTN18/USA1434A3.DOCX")</f>
      </c>
    </row>
    <row r="420">
      <c r="A420" s="6" t="s">
        <v>1936</v>
      </c>
      <c r="B420" s="7">
        <v>45624</v>
      </c>
      <c r="C420" s="9">
        <f>HYPERLINK("https://eping.wto.org/en/Search?viewData= G/TBT/N/ISR/1202/Add.1"," G/TBT/N/ISR/1202/Add.1")</f>
      </c>
      <c r="D420" s="8" t="s">
        <v>1937</v>
      </c>
      <c r="E420" s="8" t="s">
        <v>1938</v>
      </c>
      <c r="F420" s="8" t="s">
        <v>1939</v>
      </c>
      <c r="G420" s="8" t="s">
        <v>22</v>
      </c>
      <c r="H420" s="8" t="s">
        <v>1940</v>
      </c>
      <c r="I420" s="8" t="s">
        <v>39</v>
      </c>
      <c r="J420" s="8" t="s">
        <v>22</v>
      </c>
      <c r="K420" s="6"/>
      <c r="L420" s="7" t="s">
        <v>22</v>
      </c>
      <c r="M420" s="6" t="s">
        <v>40</v>
      </c>
      <c r="N420" s="8" t="s">
        <v>1941</v>
      </c>
      <c r="O420" s="6">
        <f>HYPERLINK("https://docs.wto.org/imrd/directdoc.asp?DDFDocuments/t/G/TBTN21/ISR1202A1.DOCX", "https://docs.wto.org/imrd/directdoc.asp?DDFDocuments/t/G/TBTN21/ISR1202A1.DOCX")</f>
      </c>
      <c r="P420" s="6">
        <f>HYPERLINK("https://docs.wto.org/imrd/directdoc.asp?DDFDocuments/u/G/TBTN21/ISR1202A1.DOCX", "https://docs.wto.org/imrd/directdoc.asp?DDFDocuments/u/G/TBTN21/ISR1202A1.DOCX")</f>
      </c>
      <c r="Q420" s="6">
        <f>HYPERLINK("https://docs.wto.org/imrd/directdoc.asp?DDFDocuments/v/G/TBTN21/ISR1202A1.DOCX", "https://docs.wto.org/imrd/directdoc.asp?DDFDocuments/v/G/TBTN21/ISR1202A1.DOCX")</f>
      </c>
    </row>
    <row r="421">
      <c r="A421" s="6" t="s">
        <v>487</v>
      </c>
      <c r="B421" s="7">
        <v>45624</v>
      </c>
      <c r="C421" s="9">
        <f>HYPERLINK("https://eping.wto.org/en/Search?viewData= G/SPS/N/ZAF/88"," G/SPS/N/ZAF/88")</f>
      </c>
      <c r="D421" s="8" t="s">
        <v>1942</v>
      </c>
      <c r="E421" s="8" t="s">
        <v>1943</v>
      </c>
      <c r="F421" s="8" t="s">
        <v>1944</v>
      </c>
      <c r="G421" s="8" t="s">
        <v>1945</v>
      </c>
      <c r="H421" s="8" t="s">
        <v>1946</v>
      </c>
      <c r="I421" s="8" t="s">
        <v>120</v>
      </c>
      <c r="J421" s="8" t="s">
        <v>1947</v>
      </c>
      <c r="K421" s="6" t="s">
        <v>22</v>
      </c>
      <c r="L421" s="7">
        <v>45684</v>
      </c>
      <c r="M421" s="6" t="s">
        <v>32</v>
      </c>
      <c r="N421" s="8" t="s">
        <v>1948</v>
      </c>
      <c r="O421" s="6">
        <f>HYPERLINK("https://docs.wto.org/imrd/directdoc.asp?DDFDocuments/t/G/SPS/NZAF88.DOCX", "https://docs.wto.org/imrd/directdoc.asp?DDFDocuments/t/G/SPS/NZAF88.DOCX")</f>
      </c>
      <c r="P421" s="6">
        <f>HYPERLINK("https://docs.wto.org/imrd/directdoc.asp?DDFDocuments/u/G/SPS/NZAF88.DOCX", "https://docs.wto.org/imrd/directdoc.asp?DDFDocuments/u/G/SPS/NZAF88.DOCX")</f>
      </c>
      <c r="Q421" s="6">
        <f>HYPERLINK("https://docs.wto.org/imrd/directdoc.asp?DDFDocuments/v/G/SPS/NZAF88.DOCX", "https://docs.wto.org/imrd/directdoc.asp?DDFDocuments/v/G/SPS/NZAF88.DOCX")</f>
      </c>
    </row>
    <row r="422">
      <c r="A422" s="6" t="s">
        <v>1443</v>
      </c>
      <c r="B422" s="7">
        <v>45624</v>
      </c>
      <c r="C422" s="9">
        <f>HYPERLINK("https://eping.wto.org/en/Search?viewData= G/SPS/N/IDN/153"," G/SPS/N/IDN/153")</f>
      </c>
      <c r="D422" s="8" t="s">
        <v>1949</v>
      </c>
      <c r="E422" s="8" t="s">
        <v>1950</v>
      </c>
      <c r="F422" s="8" t="s">
        <v>1951</v>
      </c>
      <c r="G422" s="8" t="s">
        <v>1952</v>
      </c>
      <c r="H422" s="8" t="s">
        <v>22</v>
      </c>
      <c r="I422" s="8" t="s">
        <v>120</v>
      </c>
      <c r="J422" s="8" t="s">
        <v>416</v>
      </c>
      <c r="K422" s="6" t="s">
        <v>22</v>
      </c>
      <c r="L422" s="7" t="s">
        <v>22</v>
      </c>
      <c r="M422" s="6" t="s">
        <v>32</v>
      </c>
      <c r="N422" s="8" t="s">
        <v>1953</v>
      </c>
      <c r="O422" s="6">
        <f>HYPERLINK("https://docs.wto.org/imrd/directdoc.asp?DDFDocuments/t/G/SPS/NIDN153.DOCX", "https://docs.wto.org/imrd/directdoc.asp?DDFDocuments/t/G/SPS/NIDN153.DOCX")</f>
      </c>
      <c r="P422" s="6">
        <f>HYPERLINK("https://docs.wto.org/imrd/directdoc.asp?DDFDocuments/u/G/SPS/NIDN153.DOCX", "https://docs.wto.org/imrd/directdoc.asp?DDFDocuments/u/G/SPS/NIDN153.DOCX")</f>
      </c>
      <c r="Q422" s="6">
        <f>HYPERLINK("https://docs.wto.org/imrd/directdoc.asp?DDFDocuments/v/G/SPS/NIDN153.DOCX", "https://docs.wto.org/imrd/directdoc.asp?DDFDocuments/v/G/SPS/NIDN153.DOCX")</f>
      </c>
    </row>
    <row r="423">
      <c r="A423" s="6" t="s">
        <v>170</v>
      </c>
      <c r="B423" s="7">
        <v>45624</v>
      </c>
      <c r="C423" s="9">
        <f>HYPERLINK("https://eping.wto.org/en/Search?viewData= G/SPS/N/SAU/542"," G/SPS/N/SAU/542")</f>
      </c>
      <c r="D423" s="8" t="s">
        <v>350</v>
      </c>
      <c r="E423" s="8" t="s">
        <v>1954</v>
      </c>
      <c r="F423" s="8" t="s">
        <v>173</v>
      </c>
      <c r="G423" s="8" t="s">
        <v>328</v>
      </c>
      <c r="H423" s="8" t="s">
        <v>22</v>
      </c>
      <c r="I423" s="8" t="s">
        <v>175</v>
      </c>
      <c r="J423" s="8" t="s">
        <v>444</v>
      </c>
      <c r="K423" s="6" t="s">
        <v>330</v>
      </c>
      <c r="L423" s="7" t="s">
        <v>22</v>
      </c>
      <c r="M423" s="6" t="s">
        <v>331</v>
      </c>
      <c r="N423" s="8" t="s">
        <v>1955</v>
      </c>
      <c r="O423" s="6">
        <f>HYPERLINK("https://docs.wto.org/imrd/directdoc.asp?DDFDocuments/t/G/SPS/NSAU542.DOCX", "https://docs.wto.org/imrd/directdoc.asp?DDFDocuments/t/G/SPS/NSAU542.DOCX")</f>
      </c>
      <c r="P423" s="6">
        <f>HYPERLINK("https://docs.wto.org/imrd/directdoc.asp?DDFDocuments/u/G/SPS/NSAU542.DOCX", "https://docs.wto.org/imrd/directdoc.asp?DDFDocuments/u/G/SPS/NSAU542.DOCX")</f>
      </c>
      <c r="Q423" s="6">
        <f>HYPERLINK("https://docs.wto.org/imrd/directdoc.asp?DDFDocuments/v/G/SPS/NSAU542.DOCX", "https://docs.wto.org/imrd/directdoc.asp?DDFDocuments/v/G/SPS/NSAU542.DOCX")</f>
      </c>
    </row>
    <row r="424">
      <c r="A424" s="6" t="s">
        <v>1936</v>
      </c>
      <c r="B424" s="7">
        <v>45624</v>
      </c>
      <c r="C424" s="9">
        <f>HYPERLINK("https://eping.wto.org/en/Search?viewData= G/TBT/N/ISR/1127/Add.1"," G/TBT/N/ISR/1127/Add.1")</f>
      </c>
      <c r="D424" s="8" t="s">
        <v>1956</v>
      </c>
      <c r="E424" s="8" t="s">
        <v>1957</v>
      </c>
      <c r="F424" s="8" t="s">
        <v>1958</v>
      </c>
      <c r="G424" s="8" t="s">
        <v>1959</v>
      </c>
      <c r="H424" s="8" t="s">
        <v>1940</v>
      </c>
      <c r="I424" s="8" t="s">
        <v>760</v>
      </c>
      <c r="J424" s="8" t="s">
        <v>22</v>
      </c>
      <c r="K424" s="6"/>
      <c r="L424" s="7" t="s">
        <v>22</v>
      </c>
      <c r="M424" s="6" t="s">
        <v>40</v>
      </c>
      <c r="N424" s="8" t="s">
        <v>1941</v>
      </c>
      <c r="O424" s="6">
        <f>HYPERLINK("https://docs.wto.org/imrd/directdoc.asp?DDFDocuments/t/G/TBTN20/ISR1127A1.DOCX", "https://docs.wto.org/imrd/directdoc.asp?DDFDocuments/t/G/TBTN20/ISR1127A1.DOCX")</f>
      </c>
      <c r="P424" s="6">
        <f>HYPERLINK("https://docs.wto.org/imrd/directdoc.asp?DDFDocuments/u/G/TBTN20/ISR1127A1.DOCX", "https://docs.wto.org/imrd/directdoc.asp?DDFDocuments/u/G/TBTN20/ISR1127A1.DOCX")</f>
      </c>
      <c r="Q424" s="6">
        <f>HYPERLINK("https://docs.wto.org/imrd/directdoc.asp?DDFDocuments/v/G/TBTN20/ISR1127A1.DOCX", "https://docs.wto.org/imrd/directdoc.asp?DDFDocuments/v/G/TBTN20/ISR1127A1.DOCX")</f>
      </c>
    </row>
    <row r="425">
      <c r="A425" s="6" t="s">
        <v>299</v>
      </c>
      <c r="B425" s="7">
        <v>45624</v>
      </c>
      <c r="C425" s="9">
        <f>HYPERLINK("https://eping.wto.org/en/Search?viewData= G/SPS/N/NZL/776"," G/SPS/N/NZL/776")</f>
      </c>
      <c r="D425" s="8" t="s">
        <v>1960</v>
      </c>
      <c r="E425" s="8" t="s">
        <v>1961</v>
      </c>
      <c r="F425" s="8" t="s">
        <v>1962</v>
      </c>
      <c r="G425" s="8" t="s">
        <v>1963</v>
      </c>
      <c r="H425" s="8" t="s">
        <v>22</v>
      </c>
      <c r="I425" s="8" t="s">
        <v>128</v>
      </c>
      <c r="J425" s="8" t="s">
        <v>1262</v>
      </c>
      <c r="K425" s="6"/>
      <c r="L425" s="7">
        <v>45688</v>
      </c>
      <c r="M425" s="6" t="s">
        <v>32</v>
      </c>
      <c r="N425" s="8" t="s">
        <v>1964</v>
      </c>
      <c r="O425" s="6">
        <f>HYPERLINK("https://docs.wto.org/imrd/directdoc.asp?DDFDocuments/t/G/SPS/NNZL776.DOCX", "https://docs.wto.org/imrd/directdoc.asp?DDFDocuments/t/G/SPS/NNZL776.DOCX")</f>
      </c>
      <c r="P425" s="6">
        <f>HYPERLINK("https://docs.wto.org/imrd/directdoc.asp?DDFDocuments/u/G/SPS/NNZL776.DOCX", "https://docs.wto.org/imrd/directdoc.asp?DDFDocuments/u/G/SPS/NNZL776.DOCX")</f>
      </c>
      <c r="Q425" s="6">
        <f>HYPERLINK("https://docs.wto.org/imrd/directdoc.asp?DDFDocuments/v/G/SPS/NNZL776.DOCX", "https://docs.wto.org/imrd/directdoc.asp?DDFDocuments/v/G/SPS/NNZL776.DOCX")</f>
      </c>
    </row>
    <row r="426">
      <c r="A426" s="6" t="s">
        <v>34</v>
      </c>
      <c r="B426" s="7">
        <v>45624</v>
      </c>
      <c r="C426" s="9">
        <f>HYPERLINK("https://eping.wto.org/en/Search?viewData= G/SPS/N/TPKM/630/Add.1"," G/SPS/N/TPKM/630/Add.1")</f>
      </c>
      <c r="D426" s="8" t="s">
        <v>1965</v>
      </c>
      <c r="E426" s="8" t="s">
        <v>1966</v>
      </c>
      <c r="F426" s="8" t="s">
        <v>1967</v>
      </c>
      <c r="G426" s="8" t="s">
        <v>1968</v>
      </c>
      <c r="H426" s="8" t="s">
        <v>22</v>
      </c>
      <c r="I426" s="8" t="s">
        <v>120</v>
      </c>
      <c r="J426" s="8" t="s">
        <v>1969</v>
      </c>
      <c r="K426" s="6"/>
      <c r="L426" s="7" t="s">
        <v>22</v>
      </c>
      <c r="M426" s="6" t="s">
        <v>40</v>
      </c>
      <c r="N426" s="8" t="s">
        <v>1970</v>
      </c>
      <c r="O426" s="6">
        <f>HYPERLINK("https://docs.wto.org/imrd/directdoc.asp?DDFDocuments/t/G/SPS/NTPKM630A1.DOCX", "https://docs.wto.org/imrd/directdoc.asp?DDFDocuments/t/G/SPS/NTPKM630A1.DOCX")</f>
      </c>
      <c r="P426" s="6">
        <f>HYPERLINK("https://docs.wto.org/imrd/directdoc.asp?DDFDocuments/u/G/SPS/NTPKM630A1.DOCX", "https://docs.wto.org/imrd/directdoc.asp?DDFDocuments/u/G/SPS/NTPKM630A1.DOCX")</f>
      </c>
      <c r="Q426" s="6">
        <f>HYPERLINK("https://docs.wto.org/imrd/directdoc.asp?DDFDocuments/v/G/SPS/NTPKM630A1.DOCX", "https://docs.wto.org/imrd/directdoc.asp?DDFDocuments/v/G/SPS/NTPKM630A1.DOCX")</f>
      </c>
    </row>
    <row r="427">
      <c r="A427" s="6" t="s">
        <v>1936</v>
      </c>
      <c r="B427" s="7">
        <v>45624</v>
      </c>
      <c r="C427" s="9">
        <f>HYPERLINK("https://eping.wto.org/en/Search?viewData= G/TBT/N/ISR/1360"," G/TBT/N/ISR/1360")</f>
      </c>
      <c r="D427" s="8" t="s">
        <v>1971</v>
      </c>
      <c r="E427" s="8" t="s">
        <v>1972</v>
      </c>
      <c r="F427" s="8" t="s">
        <v>1973</v>
      </c>
      <c r="G427" s="8" t="s">
        <v>1974</v>
      </c>
      <c r="H427" s="8" t="s">
        <v>1975</v>
      </c>
      <c r="I427" s="8" t="s">
        <v>39</v>
      </c>
      <c r="J427" s="8" t="s">
        <v>139</v>
      </c>
      <c r="K427" s="6"/>
      <c r="L427" s="7">
        <v>45684</v>
      </c>
      <c r="M427" s="6" t="s">
        <v>32</v>
      </c>
      <c r="N427" s="8" t="s">
        <v>1976</v>
      </c>
      <c r="O427" s="6">
        <f>HYPERLINK("https://docs.wto.org/imrd/directdoc.asp?DDFDocuments/t/G/TBTN24/ISR1360.DOCX", "https://docs.wto.org/imrd/directdoc.asp?DDFDocuments/t/G/TBTN24/ISR1360.DOCX")</f>
      </c>
      <c r="P427" s="6">
        <f>HYPERLINK("https://docs.wto.org/imrd/directdoc.asp?DDFDocuments/u/G/TBTN24/ISR1360.DOCX", "https://docs.wto.org/imrd/directdoc.asp?DDFDocuments/u/G/TBTN24/ISR1360.DOCX")</f>
      </c>
      <c r="Q427" s="6">
        <f>HYPERLINK("https://docs.wto.org/imrd/directdoc.asp?DDFDocuments/v/G/TBTN24/ISR1360.DOCX", "https://docs.wto.org/imrd/directdoc.asp?DDFDocuments/v/G/TBTN24/ISR1360.DOCX")</f>
      </c>
    </row>
    <row r="428">
      <c r="A428" s="6" t="s">
        <v>1443</v>
      </c>
      <c r="B428" s="7">
        <v>45624</v>
      </c>
      <c r="C428" s="9">
        <f>HYPERLINK("https://eping.wto.org/en/Search?viewData= G/SPS/N/IDN/152"," G/SPS/N/IDN/152")</f>
      </c>
      <c r="D428" s="8" t="s">
        <v>1977</v>
      </c>
      <c r="E428" s="8" t="s">
        <v>1978</v>
      </c>
      <c r="F428" s="8" t="s">
        <v>1979</v>
      </c>
      <c r="G428" s="8" t="s">
        <v>22</v>
      </c>
      <c r="H428" s="8" t="s">
        <v>22</v>
      </c>
      <c r="I428" s="8" t="s">
        <v>120</v>
      </c>
      <c r="J428" s="8" t="s">
        <v>1980</v>
      </c>
      <c r="K428" s="6" t="s">
        <v>22</v>
      </c>
      <c r="L428" s="7">
        <v>45684</v>
      </c>
      <c r="M428" s="6" t="s">
        <v>32</v>
      </c>
      <c r="N428" s="8" t="s">
        <v>1981</v>
      </c>
      <c r="O428" s="6">
        <f>HYPERLINK("https://docs.wto.org/imrd/directdoc.asp?DDFDocuments/t/G/SPS/NIDN152.DOCX", "https://docs.wto.org/imrd/directdoc.asp?DDFDocuments/t/G/SPS/NIDN152.DOCX")</f>
      </c>
      <c r="P428" s="6">
        <f>HYPERLINK("https://docs.wto.org/imrd/directdoc.asp?DDFDocuments/u/G/SPS/NIDN152.DOCX", "https://docs.wto.org/imrd/directdoc.asp?DDFDocuments/u/G/SPS/NIDN152.DOCX")</f>
      </c>
      <c r="Q428" s="6">
        <f>HYPERLINK("https://docs.wto.org/imrd/directdoc.asp?DDFDocuments/v/G/SPS/NIDN152.DOCX", "https://docs.wto.org/imrd/directdoc.asp?DDFDocuments/v/G/SPS/NIDN152.DOCX")</f>
      </c>
    </row>
    <row r="429">
      <c r="A429" s="6" t="s">
        <v>1982</v>
      </c>
      <c r="B429" s="7">
        <v>45624</v>
      </c>
      <c r="C429" s="9">
        <f>HYPERLINK("https://eping.wto.org/en/Search?viewData= G/TBT/N/QAT/702"," G/TBT/N/QAT/702")</f>
      </c>
      <c r="D429" s="8" t="s">
        <v>1983</v>
      </c>
      <c r="E429" s="8" t="s">
        <v>1984</v>
      </c>
      <c r="F429" s="8" t="s">
        <v>1985</v>
      </c>
      <c r="G429" s="8" t="s">
        <v>22</v>
      </c>
      <c r="H429" s="8" t="s">
        <v>1986</v>
      </c>
      <c r="I429" s="8" t="s">
        <v>1987</v>
      </c>
      <c r="J429" s="8" t="s">
        <v>22</v>
      </c>
      <c r="K429" s="6"/>
      <c r="L429" s="7">
        <v>45684</v>
      </c>
      <c r="M429" s="6" t="s">
        <v>32</v>
      </c>
      <c r="N429" s="8" t="s">
        <v>1988</v>
      </c>
      <c r="O429" s="6">
        <f>HYPERLINK("https://docs.wto.org/imrd/directdoc.asp?DDFDocuments/t/G/TBTN24/QAT702.DOCX", "https://docs.wto.org/imrd/directdoc.asp?DDFDocuments/t/G/TBTN24/QAT702.DOCX")</f>
      </c>
      <c r="P429" s="6">
        <f>HYPERLINK("https://docs.wto.org/imrd/directdoc.asp?DDFDocuments/u/G/TBTN24/QAT702.DOCX", "https://docs.wto.org/imrd/directdoc.asp?DDFDocuments/u/G/TBTN24/QAT702.DOCX")</f>
      </c>
      <c r="Q429" s="6">
        <f>HYPERLINK("https://docs.wto.org/imrd/directdoc.asp?DDFDocuments/v/G/TBTN24/QAT702.DOCX", "https://docs.wto.org/imrd/directdoc.asp?DDFDocuments/v/G/TBTN24/QAT702.DOCX")</f>
      </c>
    </row>
    <row r="430">
      <c r="A430" s="6" t="s">
        <v>1989</v>
      </c>
      <c r="B430" s="7">
        <v>45624</v>
      </c>
      <c r="C430" s="9">
        <f>HYPERLINK("https://eping.wto.org/en/Search?viewData= G/TBT/N/TUR/121/Add.3"," G/TBT/N/TUR/121/Add.3")</f>
      </c>
      <c r="D430" s="8" t="s">
        <v>1990</v>
      </c>
      <c r="E430" s="8" t="s">
        <v>1991</v>
      </c>
      <c r="F430" s="8" t="s">
        <v>1992</v>
      </c>
      <c r="G430" s="8" t="s">
        <v>22</v>
      </c>
      <c r="H430" s="8" t="s">
        <v>1993</v>
      </c>
      <c r="I430" s="8" t="s">
        <v>39</v>
      </c>
      <c r="J430" s="8" t="s">
        <v>81</v>
      </c>
      <c r="K430" s="6"/>
      <c r="L430" s="7" t="s">
        <v>22</v>
      </c>
      <c r="M430" s="6" t="s">
        <v>40</v>
      </c>
      <c r="N430" s="6"/>
      <c r="O430" s="6">
        <f>HYPERLINK("https://docs.wto.org/imrd/directdoc.asp?DDFDocuments/t/G/TBTN18/TUR121A3.DOCX", "https://docs.wto.org/imrd/directdoc.asp?DDFDocuments/t/G/TBTN18/TUR121A3.DOCX")</f>
      </c>
      <c r="P430" s="6">
        <f>HYPERLINK("https://docs.wto.org/imrd/directdoc.asp?DDFDocuments/u/G/TBTN18/TUR121A3.DOCX", "https://docs.wto.org/imrd/directdoc.asp?DDFDocuments/u/G/TBTN18/TUR121A3.DOCX")</f>
      </c>
      <c r="Q430" s="6">
        <f>HYPERLINK("https://docs.wto.org/imrd/directdoc.asp?DDFDocuments/v/G/TBTN18/TUR121A3.DOCX", "https://docs.wto.org/imrd/directdoc.asp?DDFDocuments/v/G/TBTN18/TUR121A3.DOCX")</f>
      </c>
    </row>
    <row r="431">
      <c r="A431" s="6" t="s">
        <v>732</v>
      </c>
      <c r="B431" s="7">
        <v>45624</v>
      </c>
      <c r="C431" s="9">
        <f>HYPERLINK("https://eping.wto.org/en/Search?viewData= G/SPS/N/MEX/436/Add.1"," G/SPS/N/MEX/436/Add.1")</f>
      </c>
      <c r="D431" s="8" t="s">
        <v>1994</v>
      </c>
      <c r="E431" s="8" t="s">
        <v>1994</v>
      </c>
      <c r="F431" s="8" t="s">
        <v>1995</v>
      </c>
      <c r="G431" s="8" t="s">
        <v>22</v>
      </c>
      <c r="H431" s="8" t="s">
        <v>22</v>
      </c>
      <c r="I431" s="8" t="s">
        <v>1692</v>
      </c>
      <c r="J431" s="8" t="s">
        <v>1764</v>
      </c>
      <c r="K431" s="6"/>
      <c r="L431" s="7" t="s">
        <v>22</v>
      </c>
      <c r="M431" s="6" t="s">
        <v>40</v>
      </c>
      <c r="N431" s="8" t="s">
        <v>1996</v>
      </c>
      <c r="O431" s="6">
        <f>HYPERLINK("https://docs.wto.org/imrd/directdoc.asp?DDFDocuments/t/G/SPS/NMEX436A1.DOCX", "https://docs.wto.org/imrd/directdoc.asp?DDFDocuments/t/G/SPS/NMEX436A1.DOCX")</f>
      </c>
      <c r="P431" s="6">
        <f>HYPERLINK("https://docs.wto.org/imrd/directdoc.asp?DDFDocuments/u/G/SPS/NMEX436A1.DOCX", "https://docs.wto.org/imrd/directdoc.asp?DDFDocuments/u/G/SPS/NMEX436A1.DOCX")</f>
      </c>
      <c r="Q431" s="6">
        <f>HYPERLINK("https://docs.wto.org/imrd/directdoc.asp?DDFDocuments/v/G/SPS/NMEX436A1.DOCX", "https://docs.wto.org/imrd/directdoc.asp?DDFDocuments/v/G/SPS/NMEX436A1.DOCX")</f>
      </c>
    </row>
    <row r="432">
      <c r="A432" s="6" t="s">
        <v>1443</v>
      </c>
      <c r="B432" s="7">
        <v>45624</v>
      </c>
      <c r="C432" s="9">
        <f>HYPERLINK("https://eping.wto.org/en/Search?viewData= G/SPS/N/IDN/151"," G/SPS/N/IDN/151")</f>
      </c>
      <c r="D432" s="8" t="s">
        <v>1997</v>
      </c>
      <c r="E432" s="8" t="s">
        <v>1998</v>
      </c>
      <c r="F432" s="8" t="s">
        <v>1999</v>
      </c>
      <c r="G432" s="8" t="s">
        <v>22</v>
      </c>
      <c r="H432" s="8" t="s">
        <v>22</v>
      </c>
      <c r="I432" s="8" t="s">
        <v>120</v>
      </c>
      <c r="J432" s="8" t="s">
        <v>1020</v>
      </c>
      <c r="K432" s="6" t="s">
        <v>22</v>
      </c>
      <c r="L432" s="7">
        <v>45684</v>
      </c>
      <c r="M432" s="6" t="s">
        <v>32</v>
      </c>
      <c r="N432" s="8" t="s">
        <v>2000</v>
      </c>
      <c r="O432" s="6">
        <f>HYPERLINK("https://docs.wto.org/imrd/directdoc.asp?DDFDocuments/t/G/SPS/NIDN151.DOCX", "https://docs.wto.org/imrd/directdoc.asp?DDFDocuments/t/G/SPS/NIDN151.DOCX")</f>
      </c>
      <c r="P432" s="6">
        <f>HYPERLINK("https://docs.wto.org/imrd/directdoc.asp?DDFDocuments/u/G/SPS/NIDN151.DOCX", "https://docs.wto.org/imrd/directdoc.asp?DDFDocuments/u/G/SPS/NIDN151.DOCX")</f>
      </c>
      <c r="Q432" s="6">
        <f>HYPERLINK("https://docs.wto.org/imrd/directdoc.asp?DDFDocuments/v/G/SPS/NIDN151.DOCX", "https://docs.wto.org/imrd/directdoc.asp?DDFDocuments/v/G/SPS/NIDN151.DOCX")</f>
      </c>
    </row>
    <row r="433">
      <c r="A433" s="6" t="s">
        <v>299</v>
      </c>
      <c r="B433" s="7">
        <v>45624</v>
      </c>
      <c r="C433" s="9">
        <f>HYPERLINK("https://eping.wto.org/en/Search?viewData= G/SPS/N/NZL/777"," G/SPS/N/NZL/777")</f>
      </c>
      <c r="D433" s="8" t="s">
        <v>2001</v>
      </c>
      <c r="E433" s="8" t="s">
        <v>2002</v>
      </c>
      <c r="F433" s="8" t="s">
        <v>2003</v>
      </c>
      <c r="G433" s="8" t="s">
        <v>2004</v>
      </c>
      <c r="H433" s="8" t="s">
        <v>22</v>
      </c>
      <c r="I433" s="8" t="s">
        <v>128</v>
      </c>
      <c r="J433" s="8" t="s">
        <v>1262</v>
      </c>
      <c r="K433" s="6"/>
      <c r="L433" s="7">
        <v>45684</v>
      </c>
      <c r="M433" s="6" t="s">
        <v>32</v>
      </c>
      <c r="N433" s="8" t="s">
        <v>2005</v>
      </c>
      <c r="O433" s="6">
        <f>HYPERLINK("https://docs.wto.org/imrd/directdoc.asp?DDFDocuments/t/G/SPS/NNZL777.DOCX", "https://docs.wto.org/imrd/directdoc.asp?DDFDocuments/t/G/SPS/NNZL777.DOCX")</f>
      </c>
      <c r="P433" s="6">
        <f>HYPERLINK("https://docs.wto.org/imrd/directdoc.asp?DDFDocuments/u/G/SPS/NNZL777.DOCX", "https://docs.wto.org/imrd/directdoc.asp?DDFDocuments/u/G/SPS/NNZL777.DOCX")</f>
      </c>
      <c r="Q433" s="6">
        <f>HYPERLINK("https://docs.wto.org/imrd/directdoc.asp?DDFDocuments/v/G/SPS/NNZL777.DOCX", "https://docs.wto.org/imrd/directdoc.asp?DDFDocuments/v/G/SPS/NNZL777.DOCX")</f>
      </c>
    </row>
    <row r="434">
      <c r="A434" s="6" t="s">
        <v>1982</v>
      </c>
      <c r="B434" s="7">
        <v>45623</v>
      </c>
      <c r="C434" s="9">
        <f>HYPERLINK("https://eping.wto.org/en/Search?viewData= G/TBT/N/QAT/701"," G/TBT/N/QAT/701")</f>
      </c>
      <c r="D434" s="8" t="s">
        <v>2006</v>
      </c>
      <c r="E434" s="8" t="s">
        <v>2007</v>
      </c>
      <c r="F434" s="8" t="s">
        <v>409</v>
      </c>
      <c r="G434" s="8" t="s">
        <v>22</v>
      </c>
      <c r="H434" s="8" t="s">
        <v>2008</v>
      </c>
      <c r="I434" s="8" t="s">
        <v>1987</v>
      </c>
      <c r="J434" s="8" t="s">
        <v>22</v>
      </c>
      <c r="K434" s="6"/>
      <c r="L434" s="7">
        <v>45683</v>
      </c>
      <c r="M434" s="6" t="s">
        <v>32</v>
      </c>
      <c r="N434" s="8" t="s">
        <v>2009</v>
      </c>
      <c r="O434" s="6">
        <f>HYPERLINK("https://docs.wto.org/imrd/directdoc.asp?DDFDocuments/t/G/TBTN24/QAT701.DOCX", "https://docs.wto.org/imrd/directdoc.asp?DDFDocuments/t/G/TBTN24/QAT701.DOCX")</f>
      </c>
      <c r="P434" s="6">
        <f>HYPERLINK("https://docs.wto.org/imrd/directdoc.asp?DDFDocuments/u/G/TBTN24/QAT701.DOCX", "https://docs.wto.org/imrd/directdoc.asp?DDFDocuments/u/G/TBTN24/QAT701.DOCX")</f>
      </c>
      <c r="Q434" s="6">
        <f>HYPERLINK("https://docs.wto.org/imrd/directdoc.asp?DDFDocuments/v/G/TBTN24/QAT701.DOCX", "https://docs.wto.org/imrd/directdoc.asp?DDFDocuments/v/G/TBTN24/QAT701.DOCX")</f>
      </c>
    </row>
    <row r="435">
      <c r="A435" s="6" t="s">
        <v>1455</v>
      </c>
      <c r="B435" s="7">
        <v>45623</v>
      </c>
      <c r="C435" s="9">
        <f>HYPERLINK("https://eping.wto.org/en/Search?viewData= G/TBT/N/BLZ/16"," G/TBT/N/BLZ/16")</f>
      </c>
      <c r="D435" s="8" t="s">
        <v>2010</v>
      </c>
      <c r="E435" s="8" t="s">
        <v>2011</v>
      </c>
      <c r="F435" s="8" t="s">
        <v>2012</v>
      </c>
      <c r="G435" s="8" t="s">
        <v>22</v>
      </c>
      <c r="H435" s="8" t="s">
        <v>2013</v>
      </c>
      <c r="I435" s="8" t="s">
        <v>2014</v>
      </c>
      <c r="J435" s="8" t="s">
        <v>58</v>
      </c>
      <c r="K435" s="6"/>
      <c r="L435" s="7">
        <v>45683</v>
      </c>
      <c r="M435" s="6" t="s">
        <v>32</v>
      </c>
      <c r="N435" s="8" t="s">
        <v>1462</v>
      </c>
      <c r="O435" s="6">
        <f>HYPERLINK("https://docs.wto.org/imrd/directdoc.asp?DDFDocuments/t/G/TBTN24/BLZ16.DOCX", "https://docs.wto.org/imrd/directdoc.asp?DDFDocuments/t/G/TBTN24/BLZ16.DOCX")</f>
      </c>
      <c r="P435" s="6">
        <f>HYPERLINK("https://docs.wto.org/imrd/directdoc.asp?DDFDocuments/u/G/TBTN24/BLZ16.DOCX", "https://docs.wto.org/imrd/directdoc.asp?DDFDocuments/u/G/TBTN24/BLZ16.DOCX")</f>
      </c>
      <c r="Q435" s="6">
        <f>HYPERLINK("https://docs.wto.org/imrd/directdoc.asp?DDFDocuments/v/G/TBTN24/BLZ16.DOCX", "https://docs.wto.org/imrd/directdoc.asp?DDFDocuments/v/G/TBTN24/BLZ16.DOCX")</f>
      </c>
    </row>
    <row r="436">
      <c r="A436" s="6" t="s">
        <v>132</v>
      </c>
      <c r="B436" s="7">
        <v>45623</v>
      </c>
      <c r="C436" s="9">
        <f>HYPERLINK("https://eping.wto.org/en/Search?viewData= G/SPS/N/CAN/1582"," G/SPS/N/CAN/1582")</f>
      </c>
      <c r="D436" s="8" t="s">
        <v>2015</v>
      </c>
      <c r="E436" s="8" t="s">
        <v>2016</v>
      </c>
      <c r="F436" s="8" t="s">
        <v>2017</v>
      </c>
      <c r="G436" s="8" t="s">
        <v>22</v>
      </c>
      <c r="H436" s="8" t="s">
        <v>2018</v>
      </c>
      <c r="I436" s="8" t="s">
        <v>120</v>
      </c>
      <c r="J436" s="8" t="s">
        <v>121</v>
      </c>
      <c r="K436" s="6" t="s">
        <v>22</v>
      </c>
      <c r="L436" s="7">
        <v>45697</v>
      </c>
      <c r="M436" s="6" t="s">
        <v>32</v>
      </c>
      <c r="N436" s="6"/>
      <c r="O436" s="6">
        <f>HYPERLINK("https://docs.wto.org/imrd/directdoc.asp?DDFDocuments/t/G/SPS/NCAN1582.DOCX", "https://docs.wto.org/imrd/directdoc.asp?DDFDocuments/t/G/SPS/NCAN1582.DOCX")</f>
      </c>
      <c r="P436" s="6">
        <f>HYPERLINK("https://docs.wto.org/imrd/directdoc.asp?DDFDocuments/u/G/SPS/NCAN1582.DOCX", "https://docs.wto.org/imrd/directdoc.asp?DDFDocuments/u/G/SPS/NCAN1582.DOCX")</f>
      </c>
      <c r="Q436" s="6">
        <f>HYPERLINK("https://docs.wto.org/imrd/directdoc.asp?DDFDocuments/v/G/SPS/NCAN1582.DOCX", "https://docs.wto.org/imrd/directdoc.asp?DDFDocuments/v/G/SPS/NCAN1582.DOCX")</f>
      </c>
    </row>
    <row r="437">
      <c r="A437" s="6" t="s">
        <v>818</v>
      </c>
      <c r="B437" s="7">
        <v>45623</v>
      </c>
      <c r="C437" s="9">
        <f>HYPERLINK("https://eping.wto.org/en/Search?viewData= G/TBT/N/SLV/231"," G/TBT/N/SLV/231")</f>
      </c>
      <c r="D437" s="8" t="s">
        <v>2019</v>
      </c>
      <c r="E437" s="8" t="s">
        <v>2020</v>
      </c>
      <c r="F437" s="8" t="s">
        <v>2021</v>
      </c>
      <c r="G437" s="8" t="s">
        <v>22</v>
      </c>
      <c r="H437" s="8" t="s">
        <v>2022</v>
      </c>
      <c r="I437" s="8" t="s">
        <v>823</v>
      </c>
      <c r="J437" s="8" t="s">
        <v>139</v>
      </c>
      <c r="K437" s="6"/>
      <c r="L437" s="7">
        <v>45683</v>
      </c>
      <c r="M437" s="6" t="s">
        <v>32</v>
      </c>
      <c r="N437" s="8" t="s">
        <v>2023</v>
      </c>
      <c r="O437" s="6">
        <f>HYPERLINK("https://docs.wto.org/imrd/directdoc.asp?DDFDocuments/t/G/TBTN24/SLV231.DOCX", "https://docs.wto.org/imrd/directdoc.asp?DDFDocuments/t/G/TBTN24/SLV231.DOCX")</f>
      </c>
      <c r="P437" s="6">
        <f>HYPERLINK("https://docs.wto.org/imrd/directdoc.asp?DDFDocuments/u/G/TBTN24/SLV231.DOCX", "https://docs.wto.org/imrd/directdoc.asp?DDFDocuments/u/G/TBTN24/SLV231.DOCX")</f>
      </c>
      <c r="Q437" s="6">
        <f>HYPERLINK("https://docs.wto.org/imrd/directdoc.asp?DDFDocuments/v/G/TBTN24/SLV231.DOCX", "https://docs.wto.org/imrd/directdoc.asp?DDFDocuments/v/G/TBTN24/SLV231.DOCX")</f>
      </c>
    </row>
    <row r="438">
      <c r="A438" s="6" t="s">
        <v>400</v>
      </c>
      <c r="B438" s="7">
        <v>45623</v>
      </c>
      <c r="C438" s="9">
        <f>HYPERLINK("https://eping.wto.org/en/Search?viewData= G/SPS/N/USA/3492"," G/SPS/N/USA/3492")</f>
      </c>
      <c r="D438" s="8" t="s">
        <v>2024</v>
      </c>
      <c r="E438" s="8" t="s">
        <v>2025</v>
      </c>
      <c r="F438" s="8" t="s">
        <v>2026</v>
      </c>
      <c r="G438" s="8" t="s">
        <v>22</v>
      </c>
      <c r="H438" s="8" t="s">
        <v>22</v>
      </c>
      <c r="I438" s="8" t="s">
        <v>120</v>
      </c>
      <c r="J438" s="8" t="s">
        <v>416</v>
      </c>
      <c r="K438" s="6" t="s">
        <v>22</v>
      </c>
      <c r="L438" s="7">
        <v>45678</v>
      </c>
      <c r="M438" s="6" t="s">
        <v>32</v>
      </c>
      <c r="N438" s="8" t="s">
        <v>2027</v>
      </c>
      <c r="O438" s="6">
        <f>HYPERLINK("https://docs.wto.org/imrd/directdoc.asp?DDFDocuments/t/G/SPS/NUSA3492.DOCX", "https://docs.wto.org/imrd/directdoc.asp?DDFDocuments/t/G/SPS/NUSA3492.DOCX")</f>
      </c>
      <c r="P438" s="6">
        <f>HYPERLINK("https://docs.wto.org/imrd/directdoc.asp?DDFDocuments/u/G/SPS/NUSA3492.DOCX", "https://docs.wto.org/imrd/directdoc.asp?DDFDocuments/u/G/SPS/NUSA3492.DOCX")</f>
      </c>
      <c r="Q438" s="6">
        <f>HYPERLINK("https://docs.wto.org/imrd/directdoc.asp?DDFDocuments/v/G/SPS/NUSA3492.DOCX", "https://docs.wto.org/imrd/directdoc.asp?DDFDocuments/v/G/SPS/NUSA3492.DOCX")</f>
      </c>
    </row>
    <row r="439">
      <c r="A439" s="6" t="s">
        <v>1989</v>
      </c>
      <c r="B439" s="7">
        <v>45623</v>
      </c>
      <c r="C439" s="9">
        <f>HYPERLINK("https://eping.wto.org/en/Search?viewData= G/SPS/N/TUR/101/Add.3"," G/SPS/N/TUR/101/Add.3")</f>
      </c>
      <c r="D439" s="8" t="s">
        <v>1990</v>
      </c>
      <c r="E439" s="8" t="s">
        <v>2028</v>
      </c>
      <c r="F439" s="8" t="s">
        <v>1992</v>
      </c>
      <c r="G439" s="8" t="s">
        <v>2029</v>
      </c>
      <c r="H439" s="8" t="s">
        <v>22</v>
      </c>
      <c r="I439" s="8" t="s">
        <v>120</v>
      </c>
      <c r="J439" s="8" t="s">
        <v>2030</v>
      </c>
      <c r="K439" s="6"/>
      <c r="L439" s="7" t="s">
        <v>22</v>
      </c>
      <c r="M439" s="6" t="s">
        <v>40</v>
      </c>
      <c r="N439" s="8" t="s">
        <v>2031</v>
      </c>
      <c r="O439" s="6">
        <f>HYPERLINK("https://docs.wto.org/imrd/directdoc.asp?DDFDocuments/t/G/SPS/NTUR101A3.DOCX", "https://docs.wto.org/imrd/directdoc.asp?DDFDocuments/t/G/SPS/NTUR101A3.DOCX")</f>
      </c>
      <c r="P439" s="6">
        <f>HYPERLINK("https://docs.wto.org/imrd/directdoc.asp?DDFDocuments/u/G/SPS/NTUR101A3.DOCX", "https://docs.wto.org/imrd/directdoc.asp?DDFDocuments/u/G/SPS/NTUR101A3.DOCX")</f>
      </c>
      <c r="Q439" s="6">
        <f>HYPERLINK("https://docs.wto.org/imrd/directdoc.asp?DDFDocuments/v/G/SPS/NTUR101A3.DOCX", "https://docs.wto.org/imrd/directdoc.asp?DDFDocuments/v/G/SPS/NTUR101A3.DOCX")</f>
      </c>
    </row>
    <row r="440">
      <c r="A440" s="6" t="s">
        <v>17</v>
      </c>
      <c r="B440" s="7">
        <v>45623</v>
      </c>
      <c r="C440" s="9">
        <f>HYPERLINK("https://eping.wto.org/en/Search?viewData= G/SPS/N/KOR/815"," G/SPS/N/KOR/815")</f>
      </c>
      <c r="D440" s="8" t="s">
        <v>2032</v>
      </c>
      <c r="E440" s="8" t="s">
        <v>2033</v>
      </c>
      <c r="F440" s="8" t="s">
        <v>2034</v>
      </c>
      <c r="G440" s="8" t="s">
        <v>22</v>
      </c>
      <c r="H440" s="8" t="s">
        <v>22</v>
      </c>
      <c r="I440" s="8" t="s">
        <v>120</v>
      </c>
      <c r="J440" s="8" t="s">
        <v>416</v>
      </c>
      <c r="K440" s="6" t="s">
        <v>22</v>
      </c>
      <c r="L440" s="7">
        <v>45683</v>
      </c>
      <c r="M440" s="6" t="s">
        <v>32</v>
      </c>
      <c r="N440" s="8" t="s">
        <v>2035</v>
      </c>
      <c r="O440" s="6">
        <f>HYPERLINK("https://docs.wto.org/imrd/directdoc.asp?DDFDocuments/t/G/SPS/NKOR815.DOCX", "https://docs.wto.org/imrd/directdoc.asp?DDFDocuments/t/G/SPS/NKOR815.DOCX")</f>
      </c>
      <c r="P440" s="6">
        <f>HYPERLINK("https://docs.wto.org/imrd/directdoc.asp?DDFDocuments/u/G/SPS/NKOR815.DOCX", "https://docs.wto.org/imrd/directdoc.asp?DDFDocuments/u/G/SPS/NKOR815.DOCX")</f>
      </c>
      <c r="Q440" s="6">
        <f>HYPERLINK("https://docs.wto.org/imrd/directdoc.asp?DDFDocuments/v/G/SPS/NKOR815.DOCX", "https://docs.wto.org/imrd/directdoc.asp?DDFDocuments/v/G/SPS/NKOR815.DOCX")</f>
      </c>
    </row>
    <row r="441">
      <c r="A441" s="6" t="s">
        <v>400</v>
      </c>
      <c r="B441" s="7">
        <v>45623</v>
      </c>
      <c r="C441" s="9">
        <f>HYPERLINK("https://eping.wto.org/en/Search?viewData= G/TBT/N/USA/2116/Add.1"," G/TBT/N/USA/2116/Add.1")</f>
      </c>
      <c r="D441" s="8" t="s">
        <v>2036</v>
      </c>
      <c r="E441" s="8" t="s">
        <v>2037</v>
      </c>
      <c r="F441" s="8" t="s">
        <v>2038</v>
      </c>
      <c r="G441" s="8" t="s">
        <v>22</v>
      </c>
      <c r="H441" s="8" t="s">
        <v>2039</v>
      </c>
      <c r="I441" s="8" t="s">
        <v>1837</v>
      </c>
      <c r="J441" s="8" t="s">
        <v>22</v>
      </c>
      <c r="K441" s="6"/>
      <c r="L441" s="7" t="s">
        <v>22</v>
      </c>
      <c r="M441" s="6" t="s">
        <v>40</v>
      </c>
      <c r="N441" s="8" t="s">
        <v>2040</v>
      </c>
      <c r="O441" s="6">
        <f>HYPERLINK("https://docs.wto.org/imrd/directdoc.asp?DDFDocuments/t/G/TBTN24/USA2116A1.DOCX", "https://docs.wto.org/imrd/directdoc.asp?DDFDocuments/t/G/TBTN24/USA2116A1.DOCX")</f>
      </c>
      <c r="P441" s="6">
        <f>HYPERLINK("https://docs.wto.org/imrd/directdoc.asp?DDFDocuments/u/G/TBTN24/USA2116A1.DOCX", "https://docs.wto.org/imrd/directdoc.asp?DDFDocuments/u/G/TBTN24/USA2116A1.DOCX")</f>
      </c>
      <c r="Q441" s="6">
        <f>HYPERLINK("https://docs.wto.org/imrd/directdoc.asp?DDFDocuments/v/G/TBTN24/USA2116A1.DOCX", "https://docs.wto.org/imrd/directdoc.asp?DDFDocuments/v/G/TBTN24/USA2116A1.DOCX")</f>
      </c>
    </row>
    <row r="442">
      <c r="A442" s="6" t="s">
        <v>400</v>
      </c>
      <c r="B442" s="7">
        <v>45623</v>
      </c>
      <c r="C442" s="9">
        <f>HYPERLINK("https://eping.wto.org/en/Search?viewData= G/SPS/N/USA/3491"," G/SPS/N/USA/3491")</f>
      </c>
      <c r="D442" s="8" t="s">
        <v>2041</v>
      </c>
      <c r="E442" s="8" t="s">
        <v>2042</v>
      </c>
      <c r="F442" s="8" t="s">
        <v>2043</v>
      </c>
      <c r="G442" s="8" t="s">
        <v>22</v>
      </c>
      <c r="H442" s="8" t="s">
        <v>22</v>
      </c>
      <c r="I442" s="8" t="s">
        <v>120</v>
      </c>
      <c r="J442" s="8" t="s">
        <v>255</v>
      </c>
      <c r="K442" s="6" t="s">
        <v>22</v>
      </c>
      <c r="L442" s="7">
        <v>45645</v>
      </c>
      <c r="M442" s="6" t="s">
        <v>32</v>
      </c>
      <c r="N442" s="8" t="s">
        <v>2044</v>
      </c>
      <c r="O442" s="6">
        <f>HYPERLINK("https://docs.wto.org/imrd/directdoc.asp?DDFDocuments/t/G/SPS/NUSA3491.DOCX", "https://docs.wto.org/imrd/directdoc.asp?DDFDocuments/t/G/SPS/NUSA3491.DOCX")</f>
      </c>
      <c r="P442" s="6">
        <f>HYPERLINK("https://docs.wto.org/imrd/directdoc.asp?DDFDocuments/u/G/SPS/NUSA3491.DOCX", "https://docs.wto.org/imrd/directdoc.asp?DDFDocuments/u/G/SPS/NUSA3491.DOCX")</f>
      </c>
      <c r="Q442" s="6">
        <f>HYPERLINK("https://docs.wto.org/imrd/directdoc.asp?DDFDocuments/v/G/SPS/NUSA3491.DOCX", "https://docs.wto.org/imrd/directdoc.asp?DDFDocuments/v/G/SPS/NUSA3491.DOCX")</f>
      </c>
    </row>
    <row r="443">
      <c r="A443" s="6" t="s">
        <v>400</v>
      </c>
      <c r="B443" s="7">
        <v>45623</v>
      </c>
      <c r="C443" s="9">
        <f>HYPERLINK("https://eping.wto.org/en/Search?viewData= G/TBT/N/USA/2007/Add.2"," G/TBT/N/USA/2007/Add.2")</f>
      </c>
      <c r="D443" s="8" t="s">
        <v>2045</v>
      </c>
      <c r="E443" s="8" t="s">
        <v>2046</v>
      </c>
      <c r="F443" s="8" t="s">
        <v>1255</v>
      </c>
      <c r="G443" s="8" t="s">
        <v>22</v>
      </c>
      <c r="H443" s="8" t="s">
        <v>2047</v>
      </c>
      <c r="I443" s="8" t="s">
        <v>641</v>
      </c>
      <c r="J443" s="8" t="s">
        <v>22</v>
      </c>
      <c r="K443" s="6"/>
      <c r="L443" s="7" t="s">
        <v>22</v>
      </c>
      <c r="M443" s="6" t="s">
        <v>40</v>
      </c>
      <c r="N443" s="8" t="s">
        <v>2048</v>
      </c>
      <c r="O443" s="6">
        <f>HYPERLINK("https://docs.wto.org/imrd/directdoc.asp?DDFDocuments/t/G/TBTN23/USA2007A2.DOCX", "https://docs.wto.org/imrd/directdoc.asp?DDFDocuments/t/G/TBTN23/USA2007A2.DOCX")</f>
      </c>
      <c r="P443" s="6">
        <f>HYPERLINK("https://docs.wto.org/imrd/directdoc.asp?DDFDocuments/u/G/TBTN23/USA2007A2.DOCX", "https://docs.wto.org/imrd/directdoc.asp?DDFDocuments/u/G/TBTN23/USA2007A2.DOCX")</f>
      </c>
      <c r="Q443" s="6">
        <f>HYPERLINK("https://docs.wto.org/imrd/directdoc.asp?DDFDocuments/v/G/TBTN23/USA2007A2.DOCX", "https://docs.wto.org/imrd/directdoc.asp?DDFDocuments/v/G/TBTN23/USA2007A2.DOCX")</f>
      </c>
    </row>
    <row r="444">
      <c r="A444" s="6" t="s">
        <v>487</v>
      </c>
      <c r="B444" s="7">
        <v>45623</v>
      </c>
      <c r="C444" s="9">
        <f>HYPERLINK("https://eping.wto.org/en/Search?viewData= G/SPS/N/ZAF/87"," G/SPS/N/ZAF/87")</f>
      </c>
      <c r="D444" s="8" t="s">
        <v>2049</v>
      </c>
      <c r="E444" s="8" t="s">
        <v>2050</v>
      </c>
      <c r="F444" s="8" t="s">
        <v>2051</v>
      </c>
      <c r="G444" s="8" t="s">
        <v>2052</v>
      </c>
      <c r="H444" s="8" t="s">
        <v>22</v>
      </c>
      <c r="I444" s="8" t="s">
        <v>120</v>
      </c>
      <c r="J444" s="8" t="s">
        <v>416</v>
      </c>
      <c r="K444" s="6" t="s">
        <v>22</v>
      </c>
      <c r="L444" s="7">
        <v>45683</v>
      </c>
      <c r="M444" s="6" t="s">
        <v>32</v>
      </c>
      <c r="N444" s="8" t="s">
        <v>2053</v>
      </c>
      <c r="O444" s="6">
        <f>HYPERLINK("https://docs.wto.org/imrd/directdoc.asp?DDFDocuments/t/G/SPS/NZAF87.DOCX", "https://docs.wto.org/imrd/directdoc.asp?DDFDocuments/t/G/SPS/NZAF87.DOCX")</f>
      </c>
      <c r="P444" s="6">
        <f>HYPERLINK("https://docs.wto.org/imrd/directdoc.asp?DDFDocuments/u/G/SPS/NZAF87.DOCX", "https://docs.wto.org/imrd/directdoc.asp?DDFDocuments/u/G/SPS/NZAF87.DOCX")</f>
      </c>
      <c r="Q444" s="6">
        <f>HYPERLINK("https://docs.wto.org/imrd/directdoc.asp?DDFDocuments/v/G/SPS/NZAF87.DOCX", "https://docs.wto.org/imrd/directdoc.asp?DDFDocuments/v/G/SPS/NZAF87.DOCX")</f>
      </c>
    </row>
    <row r="445">
      <c r="A445" s="6" t="s">
        <v>26</v>
      </c>
      <c r="B445" s="7">
        <v>45622</v>
      </c>
      <c r="C445" s="9">
        <f>HYPERLINK("https://eping.wto.org/en/Search?viewData= G/SPS/N/BDI/34/Add.2, G/SPS/N/KEN/190/Add.2, G/SPS/N/RWA/27/Add.2, G/SPS/N/TZA/228/Add.2, G/SPS/N/UGA/230/Add.2"," G/SPS/N/BDI/34/Add.2, G/SPS/N/KEN/190/Add.2, G/SPS/N/RWA/27/Add.2, G/SPS/N/TZA/228/Add.2, G/SPS/N/UGA/230/Add.2")</f>
      </c>
      <c r="D445" s="8" t="s">
        <v>2054</v>
      </c>
      <c r="E445" s="8" t="s">
        <v>2055</v>
      </c>
      <c r="F445" s="8" t="s">
        <v>2056</v>
      </c>
      <c r="G445" s="8" t="s">
        <v>2057</v>
      </c>
      <c r="H445" s="8" t="s">
        <v>79</v>
      </c>
      <c r="I445" s="8" t="s">
        <v>120</v>
      </c>
      <c r="J445" s="8" t="s">
        <v>214</v>
      </c>
      <c r="K445" s="6"/>
      <c r="L445" s="7" t="s">
        <v>22</v>
      </c>
      <c r="M445" s="6" t="s">
        <v>40</v>
      </c>
      <c r="N445" s="8" t="s">
        <v>2058</v>
      </c>
      <c r="O445" s="6">
        <f>HYPERLINK("https://docs.wto.org/imrd/directdoc.asp?DDFDocuments/t/G/SPS/NBDI34A2.DOCX", "https://docs.wto.org/imrd/directdoc.asp?DDFDocuments/t/G/SPS/NBDI34A2.DOCX")</f>
      </c>
      <c r="P445" s="6">
        <f>HYPERLINK("https://docs.wto.org/imrd/directdoc.asp?DDFDocuments/u/G/SPS/NBDI34A2.DOCX", "https://docs.wto.org/imrd/directdoc.asp?DDFDocuments/u/G/SPS/NBDI34A2.DOCX")</f>
      </c>
      <c r="Q445" s="6">
        <f>HYPERLINK("https://docs.wto.org/imrd/directdoc.asp?DDFDocuments/v/G/SPS/NBDI34A2.DOCX", "https://docs.wto.org/imrd/directdoc.asp?DDFDocuments/v/G/SPS/NBDI34A2.DOCX")</f>
      </c>
    </row>
    <row r="446">
      <c r="A446" s="6" t="s">
        <v>60</v>
      </c>
      <c r="B446" s="7">
        <v>45622</v>
      </c>
      <c r="C446" s="9">
        <f>HYPERLINK("https://eping.wto.org/en/Search?viewData= G/SPS/N/BDI/9/Add.1, G/SPS/N/KEN/161/Add.1, G/SPS/N/RWA/2/Add.1, G/SPS/N/TZA/193/Add.1, G/SPS/N/UGA/203/Add.1"," G/SPS/N/BDI/9/Add.1, G/SPS/N/KEN/161/Add.1, G/SPS/N/RWA/2/Add.1, G/SPS/N/TZA/193/Add.1, G/SPS/N/UGA/203/Add.1")</f>
      </c>
      <c r="D446" s="8" t="s">
        <v>2059</v>
      </c>
      <c r="E446" s="8" t="s">
        <v>2060</v>
      </c>
      <c r="F446" s="8" t="s">
        <v>2061</v>
      </c>
      <c r="G446" s="8" t="s">
        <v>2062</v>
      </c>
      <c r="H446" s="8" t="s">
        <v>2063</v>
      </c>
      <c r="I446" s="8" t="s">
        <v>120</v>
      </c>
      <c r="J446" s="8" t="s">
        <v>2064</v>
      </c>
      <c r="K446" s="6"/>
      <c r="L446" s="7" t="s">
        <v>22</v>
      </c>
      <c r="M446" s="6" t="s">
        <v>40</v>
      </c>
      <c r="N446" s="8" t="s">
        <v>2058</v>
      </c>
      <c r="O446" s="6">
        <f>HYPERLINK("https://docs.wto.org/imrd/directdoc.asp?DDFDocuments/t/G/SPS/NBDI9A1.DOCX", "https://docs.wto.org/imrd/directdoc.asp?DDFDocuments/t/G/SPS/NBDI9A1.DOCX")</f>
      </c>
      <c r="P446" s="6">
        <f>HYPERLINK("https://docs.wto.org/imrd/directdoc.asp?DDFDocuments/u/G/SPS/NBDI9A1.DOCX", "https://docs.wto.org/imrd/directdoc.asp?DDFDocuments/u/G/SPS/NBDI9A1.DOCX")</f>
      </c>
      <c r="Q446" s="6">
        <f>HYPERLINK("https://docs.wto.org/imrd/directdoc.asp?DDFDocuments/v/G/SPS/NBDI9A1.DOCX", "https://docs.wto.org/imrd/directdoc.asp?DDFDocuments/v/G/SPS/NBDI9A1.DOCX")</f>
      </c>
    </row>
    <row r="447">
      <c r="A447" s="6" t="s">
        <v>53</v>
      </c>
      <c r="B447" s="7">
        <v>45622</v>
      </c>
      <c r="C447" s="9">
        <f>HYPERLINK("https://eping.wto.org/en/Search?viewData= G/SPS/N/BDI/9/Add.1, G/SPS/N/KEN/161/Add.1, G/SPS/N/RWA/2/Add.1, G/SPS/N/TZA/193/Add.1, G/SPS/N/UGA/203/Add.1"," G/SPS/N/BDI/9/Add.1, G/SPS/N/KEN/161/Add.1, G/SPS/N/RWA/2/Add.1, G/SPS/N/TZA/193/Add.1, G/SPS/N/UGA/203/Add.1")</f>
      </c>
      <c r="D447" s="8" t="s">
        <v>2059</v>
      </c>
      <c r="E447" s="8" t="s">
        <v>2060</v>
      </c>
      <c r="F447" s="8" t="s">
        <v>2061</v>
      </c>
      <c r="G447" s="8" t="s">
        <v>2062</v>
      </c>
      <c r="H447" s="8" t="s">
        <v>2063</v>
      </c>
      <c r="I447" s="8" t="s">
        <v>120</v>
      </c>
      <c r="J447" s="8" t="s">
        <v>214</v>
      </c>
      <c r="K447" s="6"/>
      <c r="L447" s="7" t="s">
        <v>22</v>
      </c>
      <c r="M447" s="6" t="s">
        <v>40</v>
      </c>
      <c r="N447" s="8" t="s">
        <v>2058</v>
      </c>
      <c r="O447" s="6">
        <f>HYPERLINK("https://docs.wto.org/imrd/directdoc.asp?DDFDocuments/t/G/SPS/NBDI9A1.DOCX", "https://docs.wto.org/imrd/directdoc.asp?DDFDocuments/t/G/SPS/NBDI9A1.DOCX")</f>
      </c>
      <c r="P447" s="6">
        <f>HYPERLINK("https://docs.wto.org/imrd/directdoc.asp?DDFDocuments/u/G/SPS/NBDI9A1.DOCX", "https://docs.wto.org/imrd/directdoc.asp?DDFDocuments/u/G/SPS/NBDI9A1.DOCX")</f>
      </c>
      <c r="Q447" s="6">
        <f>HYPERLINK("https://docs.wto.org/imrd/directdoc.asp?DDFDocuments/v/G/SPS/NBDI9A1.DOCX", "https://docs.wto.org/imrd/directdoc.asp?DDFDocuments/v/G/SPS/NBDI9A1.DOCX")</f>
      </c>
    </row>
    <row r="448">
      <c r="A448" s="6" t="s">
        <v>49</v>
      </c>
      <c r="B448" s="7">
        <v>45622</v>
      </c>
      <c r="C448" s="9">
        <f>HYPERLINK("https://eping.wto.org/en/Search?viewData= G/SPS/N/BDI/9/Add.1, G/SPS/N/KEN/161/Add.1, G/SPS/N/RWA/2/Add.1, G/SPS/N/TZA/193/Add.1, G/SPS/N/UGA/203/Add.1"," G/SPS/N/BDI/9/Add.1, G/SPS/N/KEN/161/Add.1, G/SPS/N/RWA/2/Add.1, G/SPS/N/TZA/193/Add.1, G/SPS/N/UGA/203/Add.1")</f>
      </c>
      <c r="D448" s="8" t="s">
        <v>2059</v>
      </c>
      <c r="E448" s="8" t="s">
        <v>2060</v>
      </c>
      <c r="F448" s="8" t="s">
        <v>2061</v>
      </c>
      <c r="G448" s="8" t="s">
        <v>2062</v>
      </c>
      <c r="H448" s="8" t="s">
        <v>2063</v>
      </c>
      <c r="I448" s="8" t="s">
        <v>120</v>
      </c>
      <c r="J448" s="8" t="s">
        <v>214</v>
      </c>
      <c r="K448" s="6"/>
      <c r="L448" s="7" t="s">
        <v>22</v>
      </c>
      <c r="M448" s="6" t="s">
        <v>40</v>
      </c>
      <c r="N448" s="8" t="s">
        <v>2058</v>
      </c>
      <c r="O448" s="6">
        <f>HYPERLINK("https://docs.wto.org/imrd/directdoc.asp?DDFDocuments/t/G/SPS/NBDI9A1.DOCX", "https://docs.wto.org/imrd/directdoc.asp?DDFDocuments/t/G/SPS/NBDI9A1.DOCX")</f>
      </c>
      <c r="P448" s="6">
        <f>HYPERLINK("https://docs.wto.org/imrd/directdoc.asp?DDFDocuments/u/G/SPS/NBDI9A1.DOCX", "https://docs.wto.org/imrd/directdoc.asp?DDFDocuments/u/G/SPS/NBDI9A1.DOCX")</f>
      </c>
      <c r="Q448" s="6">
        <f>HYPERLINK("https://docs.wto.org/imrd/directdoc.asp?DDFDocuments/v/G/SPS/NBDI9A1.DOCX", "https://docs.wto.org/imrd/directdoc.asp?DDFDocuments/v/G/SPS/NBDI9A1.DOCX")</f>
      </c>
    </row>
    <row r="449">
      <c r="A449" s="6" t="s">
        <v>49</v>
      </c>
      <c r="B449" s="7">
        <v>45622</v>
      </c>
      <c r="C449" s="9">
        <f>HYPERLINK("https://eping.wto.org/en/Search?viewData= G/SPS/N/BDI/14/Add.1, G/SPS/N/KEN/166/Add.1, G/SPS/N/RWA/7/Add.1, G/SPS/N/TZA/198/Add.1, G/SPS/N/UGA/208/Add.1"," G/SPS/N/BDI/14/Add.1, G/SPS/N/KEN/166/Add.1, G/SPS/N/RWA/7/Add.1, G/SPS/N/TZA/198/Add.1, G/SPS/N/UGA/208/Add.1")</f>
      </c>
      <c r="D449" s="8" t="s">
        <v>2065</v>
      </c>
      <c r="E449" s="8" t="s">
        <v>2066</v>
      </c>
      <c r="F449" s="8" t="s">
        <v>2067</v>
      </c>
      <c r="G449" s="8" t="s">
        <v>2068</v>
      </c>
      <c r="H449" s="8" t="s">
        <v>2063</v>
      </c>
      <c r="I449" s="8" t="s">
        <v>120</v>
      </c>
      <c r="J449" s="8" t="s">
        <v>2069</v>
      </c>
      <c r="K449" s="6"/>
      <c r="L449" s="7" t="s">
        <v>22</v>
      </c>
      <c r="M449" s="6" t="s">
        <v>40</v>
      </c>
      <c r="N449" s="8" t="s">
        <v>2058</v>
      </c>
      <c r="O449" s="6">
        <f>HYPERLINK("https://docs.wto.org/imrd/directdoc.asp?DDFDocuments/t/G/SPS/NBDI14A1.DOCX", "https://docs.wto.org/imrd/directdoc.asp?DDFDocuments/t/G/SPS/NBDI14A1.DOCX")</f>
      </c>
      <c r="P449" s="6">
        <f>HYPERLINK("https://docs.wto.org/imrd/directdoc.asp?DDFDocuments/u/G/SPS/NBDI14A1.DOCX", "https://docs.wto.org/imrd/directdoc.asp?DDFDocuments/u/G/SPS/NBDI14A1.DOCX")</f>
      </c>
      <c r="Q449" s="6">
        <f>HYPERLINK("https://docs.wto.org/imrd/directdoc.asp?DDFDocuments/v/G/SPS/NBDI14A1.DOCX", "https://docs.wto.org/imrd/directdoc.asp?DDFDocuments/v/G/SPS/NBDI14A1.DOCX")</f>
      </c>
    </row>
    <row r="450">
      <c r="A450" s="6" t="s">
        <v>68</v>
      </c>
      <c r="B450" s="7">
        <v>45622</v>
      </c>
      <c r="C450" s="9">
        <f>HYPERLINK("https://eping.wto.org/en/Search?viewData= G/SPS/N/BDI/34/Add.2, G/SPS/N/KEN/190/Add.2, G/SPS/N/RWA/27/Add.2, G/SPS/N/TZA/228/Add.2, G/SPS/N/UGA/230/Add.2"," G/SPS/N/BDI/34/Add.2, G/SPS/N/KEN/190/Add.2, G/SPS/N/RWA/27/Add.2, G/SPS/N/TZA/228/Add.2, G/SPS/N/UGA/230/Add.2")</f>
      </c>
      <c r="D450" s="8" t="s">
        <v>2054</v>
      </c>
      <c r="E450" s="8" t="s">
        <v>2055</v>
      </c>
      <c r="F450" s="8" t="s">
        <v>2056</v>
      </c>
      <c r="G450" s="8" t="s">
        <v>2057</v>
      </c>
      <c r="H450" s="8" t="s">
        <v>79</v>
      </c>
      <c r="I450" s="8" t="s">
        <v>120</v>
      </c>
      <c r="J450" s="8" t="s">
        <v>214</v>
      </c>
      <c r="K450" s="6"/>
      <c r="L450" s="7" t="s">
        <v>22</v>
      </c>
      <c r="M450" s="6" t="s">
        <v>40</v>
      </c>
      <c r="N450" s="8" t="s">
        <v>2058</v>
      </c>
      <c r="O450" s="6">
        <f>HYPERLINK("https://docs.wto.org/imrd/directdoc.asp?DDFDocuments/t/G/SPS/NBDI34A2.DOCX", "https://docs.wto.org/imrd/directdoc.asp?DDFDocuments/t/G/SPS/NBDI34A2.DOCX")</f>
      </c>
      <c r="P450" s="6">
        <f>HYPERLINK("https://docs.wto.org/imrd/directdoc.asp?DDFDocuments/u/G/SPS/NBDI34A2.DOCX", "https://docs.wto.org/imrd/directdoc.asp?DDFDocuments/u/G/SPS/NBDI34A2.DOCX")</f>
      </c>
      <c r="Q450" s="6">
        <f>HYPERLINK("https://docs.wto.org/imrd/directdoc.asp?DDFDocuments/v/G/SPS/NBDI34A2.DOCX", "https://docs.wto.org/imrd/directdoc.asp?DDFDocuments/v/G/SPS/NBDI34A2.DOCX")</f>
      </c>
    </row>
    <row r="451">
      <c r="A451" s="6" t="s">
        <v>49</v>
      </c>
      <c r="B451" s="7">
        <v>45622</v>
      </c>
      <c r="C451" s="9">
        <f>HYPERLINK("https://eping.wto.org/en/Search?viewData= G/SPS/N/BDI/19/Add.1, G/SPS/N/KEN/171/Add.1, G/SPS/N/RWA/12/Add.1, G/SPS/N/TZA/203/Add.1, G/SPS/N/UGA/213/Add.1"," G/SPS/N/BDI/19/Add.1, G/SPS/N/KEN/171/Add.1, G/SPS/N/RWA/12/Add.1, G/SPS/N/TZA/203/Add.1, G/SPS/N/UGA/213/Add.1")</f>
      </c>
      <c r="D451" s="8" t="s">
        <v>2070</v>
      </c>
      <c r="E451" s="8" t="s">
        <v>2071</v>
      </c>
      <c r="F451" s="8" t="s">
        <v>2072</v>
      </c>
      <c r="G451" s="8" t="s">
        <v>21</v>
      </c>
      <c r="H451" s="8" t="s">
        <v>2073</v>
      </c>
      <c r="I451" s="8" t="s">
        <v>518</v>
      </c>
      <c r="J451" s="8" t="s">
        <v>2074</v>
      </c>
      <c r="K451" s="6"/>
      <c r="L451" s="7" t="s">
        <v>22</v>
      </c>
      <c r="M451" s="6" t="s">
        <v>40</v>
      </c>
      <c r="N451" s="8" t="s">
        <v>2058</v>
      </c>
      <c r="O451" s="6">
        <f>HYPERLINK("https://docs.wto.org/imrd/directdoc.asp?DDFDocuments/t/G/SPS/NBDI19A1.DOCX", "https://docs.wto.org/imrd/directdoc.asp?DDFDocuments/t/G/SPS/NBDI19A1.DOCX")</f>
      </c>
      <c r="P451" s="6">
        <f>HYPERLINK("https://docs.wto.org/imrd/directdoc.asp?DDFDocuments/u/G/SPS/NBDI19A1.DOCX", "https://docs.wto.org/imrd/directdoc.asp?DDFDocuments/u/G/SPS/NBDI19A1.DOCX")</f>
      </c>
      <c r="Q451" s="6">
        <f>HYPERLINK("https://docs.wto.org/imrd/directdoc.asp?DDFDocuments/v/G/SPS/NBDI19A1.DOCX", "https://docs.wto.org/imrd/directdoc.asp?DDFDocuments/v/G/SPS/NBDI19A1.DOCX")</f>
      </c>
    </row>
    <row r="452">
      <c r="A452" s="6" t="s">
        <v>49</v>
      </c>
      <c r="B452" s="7">
        <v>45622</v>
      </c>
      <c r="C452" s="9">
        <f>HYPERLINK("https://eping.wto.org/en/Search?viewData= G/SPS/N/BDI/30/Add.2, G/SPS/N/KEN/186/Add.2, G/SPS/N/RWA/23/Add.2, G/SPS/N/TZA/224/Add.2, G/SPS/N/UGA/226/Add.2"," G/SPS/N/BDI/30/Add.2, G/SPS/N/KEN/186/Add.2, G/SPS/N/RWA/23/Add.2, G/SPS/N/TZA/224/Add.2, G/SPS/N/UGA/226/Add.2")</f>
      </c>
      <c r="D452" s="8" t="s">
        <v>2075</v>
      </c>
      <c r="E452" s="8" t="s">
        <v>2076</v>
      </c>
      <c r="F452" s="8" t="s">
        <v>2077</v>
      </c>
      <c r="G452" s="8" t="s">
        <v>2078</v>
      </c>
      <c r="H452" s="8" t="s">
        <v>79</v>
      </c>
      <c r="I452" s="8" t="s">
        <v>120</v>
      </c>
      <c r="J452" s="8" t="s">
        <v>214</v>
      </c>
      <c r="K452" s="6"/>
      <c r="L452" s="7" t="s">
        <v>22</v>
      </c>
      <c r="M452" s="6" t="s">
        <v>40</v>
      </c>
      <c r="N452" s="8" t="s">
        <v>2058</v>
      </c>
      <c r="O452" s="6">
        <f>HYPERLINK("https://docs.wto.org/imrd/directdoc.asp?DDFDocuments/t/G/SPS/NBDI30A2.DOCX", "https://docs.wto.org/imrd/directdoc.asp?DDFDocuments/t/G/SPS/NBDI30A2.DOCX")</f>
      </c>
      <c r="P452" s="6">
        <f>HYPERLINK("https://docs.wto.org/imrd/directdoc.asp?DDFDocuments/u/G/SPS/NBDI30A2.DOCX", "https://docs.wto.org/imrd/directdoc.asp?DDFDocuments/u/G/SPS/NBDI30A2.DOCX")</f>
      </c>
      <c r="Q452" s="6">
        <f>HYPERLINK("https://docs.wto.org/imrd/directdoc.asp?DDFDocuments/v/G/SPS/NBDI30A2.DOCX", "https://docs.wto.org/imrd/directdoc.asp?DDFDocuments/v/G/SPS/NBDI30A2.DOCX")</f>
      </c>
    </row>
    <row r="453">
      <c r="A453" s="6" t="s">
        <v>60</v>
      </c>
      <c r="B453" s="7">
        <v>45622</v>
      </c>
      <c r="C453" s="9">
        <f>HYPERLINK("https://eping.wto.org/en/Search?viewData= G/SPS/N/BDI/33/Add.2, G/SPS/N/KEN/189/Add.2, G/SPS/N/RWA/26/Add.2, G/SPS/N/TZA/227/Add.2, G/SPS/N/UGA/229/Add.2"," G/SPS/N/BDI/33/Add.2, G/SPS/N/KEN/189/Add.2, G/SPS/N/RWA/26/Add.2, G/SPS/N/TZA/227/Add.2, G/SPS/N/UGA/229/Add.2")</f>
      </c>
      <c r="D453" s="8" t="s">
        <v>2079</v>
      </c>
      <c r="E453" s="8" t="s">
        <v>2080</v>
      </c>
      <c r="F453" s="8" t="s">
        <v>2081</v>
      </c>
      <c r="G453" s="8" t="s">
        <v>2082</v>
      </c>
      <c r="H453" s="8" t="s">
        <v>79</v>
      </c>
      <c r="I453" s="8" t="s">
        <v>120</v>
      </c>
      <c r="J453" s="8" t="s">
        <v>2064</v>
      </c>
      <c r="K453" s="6"/>
      <c r="L453" s="7" t="s">
        <v>22</v>
      </c>
      <c r="M453" s="6" t="s">
        <v>40</v>
      </c>
      <c r="N453" s="8" t="s">
        <v>2058</v>
      </c>
      <c r="O453" s="6">
        <f>HYPERLINK("https://docs.wto.org/imrd/directdoc.asp?DDFDocuments/t/G/SPS/NBDI33A2.DOCX", "https://docs.wto.org/imrd/directdoc.asp?DDFDocuments/t/G/SPS/NBDI33A2.DOCX")</f>
      </c>
      <c r="P453" s="6">
        <f>HYPERLINK("https://docs.wto.org/imrd/directdoc.asp?DDFDocuments/u/G/SPS/NBDI33A2.DOCX", "https://docs.wto.org/imrd/directdoc.asp?DDFDocuments/u/G/SPS/NBDI33A2.DOCX")</f>
      </c>
      <c r="Q453" s="6">
        <f>HYPERLINK("https://docs.wto.org/imrd/directdoc.asp?DDFDocuments/v/G/SPS/NBDI33A2.DOCX", "https://docs.wto.org/imrd/directdoc.asp?DDFDocuments/v/G/SPS/NBDI33A2.DOCX")</f>
      </c>
    </row>
    <row r="454">
      <c r="A454" s="6" t="s">
        <v>26</v>
      </c>
      <c r="B454" s="7">
        <v>45622</v>
      </c>
      <c r="C454" s="9">
        <f>HYPERLINK("https://eping.wto.org/en/Search?viewData= G/SPS/N/BDI/35/Add.2, G/SPS/N/KEN/191/Add.2, G/SPS/N/RWA/28/Add.2, G/SPS/N/TZA/229/Add.2, G/SPS/N/UGA/231/Add.2"," G/SPS/N/BDI/35/Add.2, G/SPS/N/KEN/191/Add.2, G/SPS/N/RWA/28/Add.2, G/SPS/N/TZA/229/Add.2, G/SPS/N/UGA/231/Add.2")</f>
      </c>
      <c r="D454" s="8" t="s">
        <v>2083</v>
      </c>
      <c r="E454" s="8" t="s">
        <v>2084</v>
      </c>
      <c r="F454" s="8" t="s">
        <v>2085</v>
      </c>
      <c r="G454" s="8" t="s">
        <v>2086</v>
      </c>
      <c r="H454" s="8" t="s">
        <v>79</v>
      </c>
      <c r="I454" s="8" t="s">
        <v>120</v>
      </c>
      <c r="J454" s="8" t="s">
        <v>214</v>
      </c>
      <c r="K454" s="6"/>
      <c r="L454" s="7" t="s">
        <v>22</v>
      </c>
      <c r="M454" s="6" t="s">
        <v>40</v>
      </c>
      <c r="N454" s="8" t="s">
        <v>2058</v>
      </c>
      <c r="O454" s="6">
        <f>HYPERLINK("https://docs.wto.org/imrd/directdoc.asp?DDFDocuments/t/G/SPS/NBDI35A2.DOCX", "https://docs.wto.org/imrd/directdoc.asp?DDFDocuments/t/G/SPS/NBDI35A2.DOCX")</f>
      </c>
      <c r="P454" s="6">
        <f>HYPERLINK("https://docs.wto.org/imrd/directdoc.asp?DDFDocuments/u/G/SPS/NBDI35A2.DOCX", "https://docs.wto.org/imrd/directdoc.asp?DDFDocuments/u/G/SPS/NBDI35A2.DOCX")</f>
      </c>
      <c r="Q454" s="6">
        <f>HYPERLINK("https://docs.wto.org/imrd/directdoc.asp?DDFDocuments/v/G/SPS/NBDI35A2.DOCX", "https://docs.wto.org/imrd/directdoc.asp?DDFDocuments/v/G/SPS/NBDI35A2.DOCX")</f>
      </c>
    </row>
    <row r="455">
      <c r="A455" s="6" t="s">
        <v>60</v>
      </c>
      <c r="B455" s="7">
        <v>45622</v>
      </c>
      <c r="C455" s="9">
        <f>HYPERLINK("https://eping.wto.org/en/Search?viewData= G/SPS/N/BDI/10/Add.1, G/SPS/N/KEN/162/Add.1, G/SPS/N/RWA/3/Add.1, G/SPS/N/TZA/194/Add.1, G/SPS/N/UGA/204/Add.1"," G/SPS/N/BDI/10/Add.1, G/SPS/N/KEN/162/Add.1, G/SPS/N/RWA/3/Add.1, G/SPS/N/TZA/194/Add.1, G/SPS/N/UGA/204/Add.1")</f>
      </c>
      <c r="D455" s="8" t="s">
        <v>2087</v>
      </c>
      <c r="E455" s="8" t="s">
        <v>2088</v>
      </c>
      <c r="F455" s="8" t="s">
        <v>2089</v>
      </c>
      <c r="G455" s="8" t="s">
        <v>2090</v>
      </c>
      <c r="H455" s="8" t="s">
        <v>2063</v>
      </c>
      <c r="I455" s="8" t="s">
        <v>120</v>
      </c>
      <c r="J455" s="8" t="s">
        <v>214</v>
      </c>
      <c r="K455" s="6"/>
      <c r="L455" s="7" t="s">
        <v>22</v>
      </c>
      <c r="M455" s="6" t="s">
        <v>40</v>
      </c>
      <c r="N455" s="8" t="s">
        <v>2058</v>
      </c>
      <c r="O455" s="6">
        <f>HYPERLINK("https://docs.wto.org/imrd/directdoc.asp?DDFDocuments/t/G/SPS/NBDI10A1.DOCX", "https://docs.wto.org/imrd/directdoc.asp?DDFDocuments/t/G/SPS/NBDI10A1.DOCX")</f>
      </c>
      <c r="P455" s="6">
        <f>HYPERLINK("https://docs.wto.org/imrd/directdoc.asp?DDFDocuments/u/G/SPS/NBDI10A1.DOCX", "https://docs.wto.org/imrd/directdoc.asp?DDFDocuments/u/G/SPS/NBDI10A1.DOCX")</f>
      </c>
      <c r="Q455" s="6">
        <f>HYPERLINK("https://docs.wto.org/imrd/directdoc.asp?DDFDocuments/v/G/SPS/NBDI10A1.DOCX", "https://docs.wto.org/imrd/directdoc.asp?DDFDocuments/v/G/SPS/NBDI10A1.DOCX")</f>
      </c>
    </row>
    <row r="456">
      <c r="A456" s="6" t="s">
        <v>60</v>
      </c>
      <c r="B456" s="7">
        <v>45622</v>
      </c>
      <c r="C456" s="9">
        <f>HYPERLINK("https://eping.wto.org/en/Search?viewData= G/SPS/N/BDI/31/Add.2, G/SPS/N/KEN/187/Add.2, G/SPS/N/RWA/24/Add.2, G/SPS/N/TZA/225/Add.2, G/SPS/N/UGA/227/Add.2"," G/SPS/N/BDI/31/Add.2, G/SPS/N/KEN/187/Add.2, G/SPS/N/RWA/24/Add.2, G/SPS/N/TZA/225/Add.2, G/SPS/N/UGA/227/Add.2")</f>
      </c>
      <c r="D456" s="8" t="s">
        <v>2091</v>
      </c>
      <c r="E456" s="8" t="s">
        <v>2092</v>
      </c>
      <c r="F456" s="8" t="s">
        <v>2093</v>
      </c>
      <c r="G456" s="8" t="s">
        <v>2094</v>
      </c>
      <c r="H456" s="8" t="s">
        <v>79</v>
      </c>
      <c r="I456" s="8" t="s">
        <v>120</v>
      </c>
      <c r="J456" s="8" t="s">
        <v>2064</v>
      </c>
      <c r="K456" s="6"/>
      <c r="L456" s="7" t="s">
        <v>22</v>
      </c>
      <c r="M456" s="6" t="s">
        <v>40</v>
      </c>
      <c r="N456" s="8" t="s">
        <v>2058</v>
      </c>
      <c r="O456" s="6">
        <f>HYPERLINK("https://docs.wto.org/imrd/directdoc.asp?DDFDocuments/t/G/SPS/NBDI31A2.DOCX", "https://docs.wto.org/imrd/directdoc.asp?DDFDocuments/t/G/SPS/NBDI31A2.DOCX")</f>
      </c>
      <c r="P456" s="6">
        <f>HYPERLINK("https://docs.wto.org/imrd/directdoc.asp?DDFDocuments/u/G/SPS/NBDI31A2.DOCX", "https://docs.wto.org/imrd/directdoc.asp?DDFDocuments/u/G/SPS/NBDI31A2.DOCX")</f>
      </c>
      <c r="Q456" s="6">
        <f>HYPERLINK("https://docs.wto.org/imrd/directdoc.asp?DDFDocuments/v/G/SPS/NBDI31A2.DOCX", "https://docs.wto.org/imrd/directdoc.asp?DDFDocuments/v/G/SPS/NBDI31A2.DOCX")</f>
      </c>
    </row>
    <row r="457">
      <c r="A457" s="6" t="s">
        <v>53</v>
      </c>
      <c r="B457" s="7">
        <v>45622</v>
      </c>
      <c r="C457" s="9">
        <f>HYPERLINK("https://eping.wto.org/en/Search?viewData= G/SPS/N/BDI/31/Add.2, G/SPS/N/KEN/187/Add.2, G/SPS/N/RWA/24/Add.2, G/SPS/N/TZA/225/Add.2, G/SPS/N/UGA/227/Add.2"," G/SPS/N/BDI/31/Add.2, G/SPS/N/KEN/187/Add.2, G/SPS/N/RWA/24/Add.2, G/SPS/N/TZA/225/Add.2, G/SPS/N/UGA/227/Add.2")</f>
      </c>
      <c r="D457" s="8" t="s">
        <v>2091</v>
      </c>
      <c r="E457" s="8" t="s">
        <v>2092</v>
      </c>
      <c r="F457" s="8" t="s">
        <v>2093</v>
      </c>
      <c r="G457" s="8" t="s">
        <v>2094</v>
      </c>
      <c r="H457" s="8" t="s">
        <v>79</v>
      </c>
      <c r="I457" s="8" t="s">
        <v>120</v>
      </c>
      <c r="J457" s="8" t="s">
        <v>214</v>
      </c>
      <c r="K457" s="6"/>
      <c r="L457" s="7" t="s">
        <v>22</v>
      </c>
      <c r="M457" s="6" t="s">
        <v>40</v>
      </c>
      <c r="N457" s="8" t="s">
        <v>2058</v>
      </c>
      <c r="O457" s="6">
        <f>HYPERLINK("https://docs.wto.org/imrd/directdoc.asp?DDFDocuments/t/G/SPS/NBDI31A2.DOCX", "https://docs.wto.org/imrd/directdoc.asp?DDFDocuments/t/G/SPS/NBDI31A2.DOCX")</f>
      </c>
      <c r="P457" s="6">
        <f>HYPERLINK("https://docs.wto.org/imrd/directdoc.asp?DDFDocuments/u/G/SPS/NBDI31A2.DOCX", "https://docs.wto.org/imrd/directdoc.asp?DDFDocuments/u/G/SPS/NBDI31A2.DOCX")</f>
      </c>
      <c r="Q457" s="6">
        <f>HYPERLINK("https://docs.wto.org/imrd/directdoc.asp?DDFDocuments/v/G/SPS/NBDI31A2.DOCX", "https://docs.wto.org/imrd/directdoc.asp?DDFDocuments/v/G/SPS/NBDI31A2.DOCX")</f>
      </c>
    </row>
    <row r="458">
      <c r="A458" s="6" t="s">
        <v>53</v>
      </c>
      <c r="B458" s="7">
        <v>45622</v>
      </c>
      <c r="C458" s="9">
        <f>HYPERLINK("https://eping.wto.org/en/Search?viewData= G/SPS/N/BDI/22/Add.2, G/SPS/N/KEN/175/Add.2, G/SPS/N/RWA/15/Add.2, G/SPS/N/TZA/206/Add.2, G/SPS/N/UGA/217/Add.2"," G/SPS/N/BDI/22/Add.2, G/SPS/N/KEN/175/Add.2, G/SPS/N/RWA/15/Add.2, G/SPS/N/TZA/206/Add.2, G/SPS/N/UGA/217/Add.2")</f>
      </c>
      <c r="D458" s="8" t="s">
        <v>2095</v>
      </c>
      <c r="E458" s="8" t="s">
        <v>2096</v>
      </c>
      <c r="F458" s="8" t="s">
        <v>2097</v>
      </c>
      <c r="G458" s="8" t="s">
        <v>2098</v>
      </c>
      <c r="H458" s="8" t="s">
        <v>2099</v>
      </c>
      <c r="I458" s="8" t="s">
        <v>120</v>
      </c>
      <c r="J458" s="8" t="s">
        <v>214</v>
      </c>
      <c r="K458" s="6"/>
      <c r="L458" s="7" t="s">
        <v>22</v>
      </c>
      <c r="M458" s="6" t="s">
        <v>40</v>
      </c>
      <c r="N458" s="8" t="s">
        <v>2058</v>
      </c>
      <c r="O458" s="6">
        <f>HYPERLINK("https://docs.wto.org/imrd/directdoc.asp?DDFDocuments/t/G/SPS/NBDI22A2.DOCX", "https://docs.wto.org/imrd/directdoc.asp?DDFDocuments/t/G/SPS/NBDI22A2.DOCX")</f>
      </c>
      <c r="P458" s="6">
        <f>HYPERLINK("https://docs.wto.org/imrd/directdoc.asp?DDFDocuments/u/G/SPS/NBDI22A2.DOCX", "https://docs.wto.org/imrd/directdoc.asp?DDFDocuments/u/G/SPS/NBDI22A2.DOCX")</f>
      </c>
      <c r="Q458" s="6">
        <f>HYPERLINK("https://docs.wto.org/imrd/directdoc.asp?DDFDocuments/v/G/SPS/NBDI22A2.DOCX", "https://docs.wto.org/imrd/directdoc.asp?DDFDocuments/v/G/SPS/NBDI22A2.DOCX")</f>
      </c>
    </row>
    <row r="459">
      <c r="A459" s="6" t="s">
        <v>60</v>
      </c>
      <c r="B459" s="7">
        <v>45622</v>
      </c>
      <c r="C459" s="9">
        <f>HYPERLINK("https://eping.wto.org/en/Search?viewData= G/SPS/N/BDI/12/Add.1, G/SPS/N/KEN/164/Add.1, G/SPS/N/RWA/5/Add.1, G/SPS/N/TZA/196/Add.1, G/SPS/N/UGA/206/Add.1"," G/SPS/N/BDI/12/Add.1, G/SPS/N/KEN/164/Add.1, G/SPS/N/RWA/5/Add.1, G/SPS/N/TZA/196/Add.1, G/SPS/N/UGA/206/Add.1")</f>
      </c>
      <c r="D459" s="8" t="s">
        <v>2100</v>
      </c>
      <c r="E459" s="8" t="s">
        <v>2101</v>
      </c>
      <c r="F459" s="8" t="s">
        <v>2102</v>
      </c>
      <c r="G459" s="8" t="s">
        <v>2068</v>
      </c>
      <c r="H459" s="8" t="s">
        <v>2063</v>
      </c>
      <c r="I459" s="8" t="s">
        <v>120</v>
      </c>
      <c r="J459" s="8" t="s">
        <v>2064</v>
      </c>
      <c r="K459" s="6"/>
      <c r="L459" s="7" t="s">
        <v>22</v>
      </c>
      <c r="M459" s="6" t="s">
        <v>40</v>
      </c>
      <c r="N459" s="8" t="s">
        <v>2058</v>
      </c>
      <c r="O459" s="6">
        <f>HYPERLINK("https://docs.wto.org/imrd/directdoc.asp?DDFDocuments/t/G/SPS/NBDI12A1.DOCX", "https://docs.wto.org/imrd/directdoc.asp?DDFDocuments/t/G/SPS/NBDI12A1.DOCX")</f>
      </c>
      <c r="P459" s="6">
        <f>HYPERLINK("https://docs.wto.org/imrd/directdoc.asp?DDFDocuments/u/G/SPS/NBDI12A1.DOCX", "https://docs.wto.org/imrd/directdoc.asp?DDFDocuments/u/G/SPS/NBDI12A1.DOCX")</f>
      </c>
      <c r="Q459" s="6">
        <f>HYPERLINK("https://docs.wto.org/imrd/directdoc.asp?DDFDocuments/v/G/SPS/NBDI12A1.DOCX", "https://docs.wto.org/imrd/directdoc.asp?DDFDocuments/v/G/SPS/NBDI12A1.DOCX")</f>
      </c>
    </row>
    <row r="460">
      <c r="A460" s="6" t="s">
        <v>49</v>
      </c>
      <c r="B460" s="7">
        <v>45622</v>
      </c>
      <c r="C460" s="9">
        <f>HYPERLINK("https://eping.wto.org/en/Search?viewData= G/SPS/N/BDI/23/Add.1, G/SPS/N/KEN/176/Add.1, G/SPS/N/RWA/16/Add.1, G/SPS/N/TZA/207/Add.1, G/SPS/N/UGA/218/Add.1"," G/SPS/N/BDI/23/Add.1, G/SPS/N/KEN/176/Add.1, G/SPS/N/RWA/16/Add.1, G/SPS/N/TZA/207/Add.1, G/SPS/N/UGA/218/Add.1")</f>
      </c>
      <c r="D460" s="8" t="s">
        <v>2103</v>
      </c>
      <c r="E460" s="8" t="s">
        <v>2104</v>
      </c>
      <c r="F460" s="8" t="s">
        <v>2105</v>
      </c>
      <c r="G460" s="8" t="s">
        <v>2106</v>
      </c>
      <c r="H460" s="8" t="s">
        <v>2107</v>
      </c>
      <c r="I460" s="8" t="s">
        <v>120</v>
      </c>
      <c r="J460" s="8" t="s">
        <v>2069</v>
      </c>
      <c r="K460" s="6"/>
      <c r="L460" s="7" t="s">
        <v>22</v>
      </c>
      <c r="M460" s="6" t="s">
        <v>40</v>
      </c>
      <c r="N460" s="8" t="s">
        <v>2058</v>
      </c>
      <c r="O460" s="6">
        <f>HYPERLINK("https://docs.wto.org/imrd/directdoc.asp?DDFDocuments/t/G/SPS/NBDI23A1.DOCX", "https://docs.wto.org/imrd/directdoc.asp?DDFDocuments/t/G/SPS/NBDI23A1.DOCX")</f>
      </c>
      <c r="P460" s="6">
        <f>HYPERLINK("https://docs.wto.org/imrd/directdoc.asp?DDFDocuments/u/G/SPS/NBDI23A1.DOCX", "https://docs.wto.org/imrd/directdoc.asp?DDFDocuments/u/G/SPS/NBDI23A1.DOCX")</f>
      </c>
      <c r="Q460" s="6">
        <f>HYPERLINK("https://docs.wto.org/imrd/directdoc.asp?DDFDocuments/v/G/SPS/NBDI23A1.DOCX", "https://docs.wto.org/imrd/directdoc.asp?DDFDocuments/v/G/SPS/NBDI23A1.DOCX")</f>
      </c>
    </row>
    <row r="461">
      <c r="A461" s="6" t="s">
        <v>68</v>
      </c>
      <c r="B461" s="7">
        <v>45622</v>
      </c>
      <c r="C461" s="9">
        <f>HYPERLINK("https://eping.wto.org/en/Search?viewData= G/SPS/N/BDI/31/Add.2, G/SPS/N/KEN/187/Add.2, G/SPS/N/RWA/24/Add.2, G/SPS/N/TZA/225/Add.2, G/SPS/N/UGA/227/Add.2"," G/SPS/N/BDI/31/Add.2, G/SPS/N/KEN/187/Add.2, G/SPS/N/RWA/24/Add.2, G/SPS/N/TZA/225/Add.2, G/SPS/N/UGA/227/Add.2")</f>
      </c>
      <c r="D461" s="8" t="s">
        <v>2091</v>
      </c>
      <c r="E461" s="8" t="s">
        <v>2092</v>
      </c>
      <c r="F461" s="8" t="s">
        <v>2093</v>
      </c>
      <c r="G461" s="8" t="s">
        <v>2094</v>
      </c>
      <c r="H461" s="8" t="s">
        <v>79</v>
      </c>
      <c r="I461" s="8" t="s">
        <v>120</v>
      </c>
      <c r="J461" s="8" t="s">
        <v>2108</v>
      </c>
      <c r="K461" s="6"/>
      <c r="L461" s="7" t="s">
        <v>22</v>
      </c>
      <c r="M461" s="6" t="s">
        <v>40</v>
      </c>
      <c r="N461" s="8" t="s">
        <v>2058</v>
      </c>
      <c r="O461" s="6">
        <f>HYPERLINK("https://docs.wto.org/imrd/directdoc.asp?DDFDocuments/t/G/SPS/NBDI31A2.DOCX", "https://docs.wto.org/imrd/directdoc.asp?DDFDocuments/t/G/SPS/NBDI31A2.DOCX")</f>
      </c>
      <c r="P461" s="6">
        <f>HYPERLINK("https://docs.wto.org/imrd/directdoc.asp?DDFDocuments/u/G/SPS/NBDI31A2.DOCX", "https://docs.wto.org/imrd/directdoc.asp?DDFDocuments/u/G/SPS/NBDI31A2.DOCX")</f>
      </c>
      <c r="Q461" s="6">
        <f>HYPERLINK("https://docs.wto.org/imrd/directdoc.asp?DDFDocuments/v/G/SPS/NBDI31A2.DOCX", "https://docs.wto.org/imrd/directdoc.asp?DDFDocuments/v/G/SPS/NBDI31A2.DOCX")</f>
      </c>
    </row>
    <row r="462">
      <c r="A462" s="6" t="s">
        <v>68</v>
      </c>
      <c r="B462" s="7">
        <v>45622</v>
      </c>
      <c r="C462" s="9">
        <f>HYPERLINK("https://eping.wto.org/en/Search?viewData= G/SPS/N/BDI/32/Add.1, G/SPS/N/KEN/188/Add.1, G/SPS/N/RWA/25/Add.1, G/SPS/N/TZA/226/Add.1, G/SPS/N/UGA/228/Add.1"," G/SPS/N/BDI/32/Add.1, G/SPS/N/KEN/188/Add.1, G/SPS/N/RWA/25/Add.1, G/SPS/N/TZA/226/Add.1, G/SPS/N/UGA/228/Add.1")</f>
      </c>
      <c r="D462" s="8" t="s">
        <v>2109</v>
      </c>
      <c r="E462" s="8" t="s">
        <v>2110</v>
      </c>
      <c r="F462" s="8" t="s">
        <v>2111</v>
      </c>
      <c r="G462" s="8" t="s">
        <v>2112</v>
      </c>
      <c r="H462" s="8" t="s">
        <v>79</v>
      </c>
      <c r="I462" s="8" t="s">
        <v>120</v>
      </c>
      <c r="J462" s="8" t="s">
        <v>214</v>
      </c>
      <c r="K462" s="6"/>
      <c r="L462" s="7" t="s">
        <v>22</v>
      </c>
      <c r="M462" s="6" t="s">
        <v>40</v>
      </c>
      <c r="N462" s="8" t="s">
        <v>2058</v>
      </c>
      <c r="O462" s="6">
        <f>HYPERLINK("https://docs.wto.org/imrd/directdoc.asp?DDFDocuments/t/G/SPS/NBDI32A1.DOCX", "https://docs.wto.org/imrd/directdoc.asp?DDFDocuments/t/G/SPS/NBDI32A1.DOCX")</f>
      </c>
      <c r="P462" s="6">
        <f>HYPERLINK("https://docs.wto.org/imrd/directdoc.asp?DDFDocuments/u/G/SPS/NBDI32A1.DOCX", "https://docs.wto.org/imrd/directdoc.asp?DDFDocuments/u/G/SPS/NBDI32A1.DOCX")</f>
      </c>
      <c r="Q462" s="6">
        <f>HYPERLINK("https://docs.wto.org/imrd/directdoc.asp?DDFDocuments/v/G/SPS/NBDI32A1.DOCX", "https://docs.wto.org/imrd/directdoc.asp?DDFDocuments/v/G/SPS/NBDI32A1.DOCX")</f>
      </c>
    </row>
    <row r="463">
      <c r="A463" s="6" t="s">
        <v>68</v>
      </c>
      <c r="B463" s="7">
        <v>45622</v>
      </c>
      <c r="C463" s="9">
        <f>HYPERLINK("https://eping.wto.org/en/Search?viewData= G/SPS/N/BDI/35/Add.2, G/SPS/N/KEN/191/Add.2, G/SPS/N/RWA/28/Add.2, G/SPS/N/TZA/229/Add.2, G/SPS/N/UGA/231/Add.2"," G/SPS/N/BDI/35/Add.2, G/SPS/N/KEN/191/Add.2, G/SPS/N/RWA/28/Add.2, G/SPS/N/TZA/229/Add.2, G/SPS/N/UGA/231/Add.2")</f>
      </c>
      <c r="D463" s="8" t="s">
        <v>2083</v>
      </c>
      <c r="E463" s="8" t="s">
        <v>2084</v>
      </c>
      <c r="F463" s="8" t="s">
        <v>2085</v>
      </c>
      <c r="G463" s="8" t="s">
        <v>2086</v>
      </c>
      <c r="H463" s="8" t="s">
        <v>79</v>
      </c>
      <c r="I463" s="8" t="s">
        <v>120</v>
      </c>
      <c r="J463" s="8" t="s">
        <v>2108</v>
      </c>
      <c r="K463" s="6"/>
      <c r="L463" s="7" t="s">
        <v>22</v>
      </c>
      <c r="M463" s="6" t="s">
        <v>40</v>
      </c>
      <c r="N463" s="8" t="s">
        <v>2058</v>
      </c>
      <c r="O463" s="6">
        <f>HYPERLINK("https://docs.wto.org/imrd/directdoc.asp?DDFDocuments/t/G/SPS/NBDI35A2.DOCX", "https://docs.wto.org/imrd/directdoc.asp?DDFDocuments/t/G/SPS/NBDI35A2.DOCX")</f>
      </c>
      <c r="P463" s="6">
        <f>HYPERLINK("https://docs.wto.org/imrd/directdoc.asp?DDFDocuments/u/G/SPS/NBDI35A2.DOCX", "https://docs.wto.org/imrd/directdoc.asp?DDFDocuments/u/G/SPS/NBDI35A2.DOCX")</f>
      </c>
      <c r="Q463" s="6">
        <f>HYPERLINK("https://docs.wto.org/imrd/directdoc.asp?DDFDocuments/v/G/SPS/NBDI35A2.DOCX", "https://docs.wto.org/imrd/directdoc.asp?DDFDocuments/v/G/SPS/NBDI35A2.DOCX")</f>
      </c>
    </row>
    <row r="464">
      <c r="A464" s="6" t="s">
        <v>68</v>
      </c>
      <c r="B464" s="7">
        <v>45622</v>
      </c>
      <c r="C464" s="9">
        <f>HYPERLINK("https://eping.wto.org/en/Search?viewData= G/SPS/N/BDI/9/Add.1, G/SPS/N/KEN/161/Add.1, G/SPS/N/RWA/2/Add.1, G/SPS/N/TZA/193/Add.1, G/SPS/N/UGA/203/Add.1"," G/SPS/N/BDI/9/Add.1, G/SPS/N/KEN/161/Add.1, G/SPS/N/RWA/2/Add.1, G/SPS/N/TZA/193/Add.1, G/SPS/N/UGA/203/Add.1")</f>
      </c>
      <c r="D464" s="8" t="s">
        <v>2059</v>
      </c>
      <c r="E464" s="8" t="s">
        <v>2060</v>
      </c>
      <c r="F464" s="8" t="s">
        <v>2061</v>
      </c>
      <c r="G464" s="8" t="s">
        <v>2062</v>
      </c>
      <c r="H464" s="8" t="s">
        <v>2063</v>
      </c>
      <c r="I464" s="8" t="s">
        <v>120</v>
      </c>
      <c r="J464" s="8" t="s">
        <v>214</v>
      </c>
      <c r="K464" s="6"/>
      <c r="L464" s="7" t="s">
        <v>22</v>
      </c>
      <c r="M464" s="6" t="s">
        <v>40</v>
      </c>
      <c r="N464" s="8" t="s">
        <v>2058</v>
      </c>
      <c r="O464" s="6">
        <f>HYPERLINK("https://docs.wto.org/imrd/directdoc.asp?DDFDocuments/t/G/SPS/NBDI9A1.DOCX", "https://docs.wto.org/imrd/directdoc.asp?DDFDocuments/t/G/SPS/NBDI9A1.DOCX")</f>
      </c>
      <c r="P464" s="6">
        <f>HYPERLINK("https://docs.wto.org/imrd/directdoc.asp?DDFDocuments/u/G/SPS/NBDI9A1.DOCX", "https://docs.wto.org/imrd/directdoc.asp?DDFDocuments/u/G/SPS/NBDI9A1.DOCX")</f>
      </c>
      <c r="Q464" s="6">
        <f>HYPERLINK("https://docs.wto.org/imrd/directdoc.asp?DDFDocuments/v/G/SPS/NBDI9A1.DOCX", "https://docs.wto.org/imrd/directdoc.asp?DDFDocuments/v/G/SPS/NBDI9A1.DOCX")</f>
      </c>
    </row>
    <row r="465">
      <c r="A465" s="6" t="s">
        <v>68</v>
      </c>
      <c r="B465" s="7">
        <v>45622</v>
      </c>
      <c r="C465" s="9">
        <f>HYPERLINK("https://eping.wto.org/en/Search?viewData= G/SPS/N/BDI/24/Add.2, G/SPS/N/KEN/177/Add.2, G/SPS/N/RWA/17/Add.2, G/SPS/N/TZA/208/Add.2, G/SPS/N/UGA/219/Add.2"," G/SPS/N/BDI/24/Add.2, G/SPS/N/KEN/177/Add.2, G/SPS/N/RWA/17/Add.2, G/SPS/N/TZA/208/Add.2, G/SPS/N/UGA/219/Add.2")</f>
      </c>
      <c r="D465" s="8" t="s">
        <v>2113</v>
      </c>
      <c r="E465" s="8" t="s">
        <v>2114</v>
      </c>
      <c r="F465" s="8" t="s">
        <v>2115</v>
      </c>
      <c r="G465" s="8" t="s">
        <v>2116</v>
      </c>
      <c r="H465" s="8" t="s">
        <v>2117</v>
      </c>
      <c r="I465" s="8" t="s">
        <v>120</v>
      </c>
      <c r="J465" s="8" t="s">
        <v>2118</v>
      </c>
      <c r="K465" s="6"/>
      <c r="L465" s="7" t="s">
        <v>22</v>
      </c>
      <c r="M465" s="6" t="s">
        <v>40</v>
      </c>
      <c r="N465" s="8" t="s">
        <v>2058</v>
      </c>
      <c r="O465" s="6">
        <f>HYPERLINK("https://docs.wto.org/imrd/directdoc.asp?DDFDocuments/t/G/SPS/NBDI24A2.DOCX", "https://docs.wto.org/imrd/directdoc.asp?DDFDocuments/t/G/SPS/NBDI24A2.DOCX")</f>
      </c>
      <c r="P465" s="6">
        <f>HYPERLINK("https://docs.wto.org/imrd/directdoc.asp?DDFDocuments/u/G/SPS/NBDI24A2.DOCX", "https://docs.wto.org/imrd/directdoc.asp?DDFDocuments/u/G/SPS/NBDI24A2.DOCX")</f>
      </c>
      <c r="Q465" s="6">
        <f>HYPERLINK("https://docs.wto.org/imrd/directdoc.asp?DDFDocuments/v/G/SPS/NBDI24A2.DOCX", "https://docs.wto.org/imrd/directdoc.asp?DDFDocuments/v/G/SPS/NBDI24A2.DOCX")</f>
      </c>
    </row>
    <row r="466">
      <c r="A466" s="6" t="s">
        <v>60</v>
      </c>
      <c r="B466" s="7">
        <v>45622</v>
      </c>
      <c r="C466" s="9">
        <f>HYPERLINK("https://eping.wto.org/en/Search?viewData= G/SPS/N/BDI/19/Add.1, G/SPS/N/KEN/171/Add.1, G/SPS/N/RWA/12/Add.1, G/SPS/N/TZA/203/Add.1, G/SPS/N/UGA/213/Add.1"," G/SPS/N/BDI/19/Add.1, G/SPS/N/KEN/171/Add.1, G/SPS/N/RWA/12/Add.1, G/SPS/N/TZA/203/Add.1, G/SPS/N/UGA/213/Add.1")</f>
      </c>
      <c r="D466" s="8" t="s">
        <v>2070</v>
      </c>
      <c r="E466" s="8" t="s">
        <v>2071</v>
      </c>
      <c r="F466" s="8" t="s">
        <v>2072</v>
      </c>
      <c r="G466" s="8" t="s">
        <v>21</v>
      </c>
      <c r="H466" s="8" t="s">
        <v>2073</v>
      </c>
      <c r="I466" s="8" t="s">
        <v>518</v>
      </c>
      <c r="J466" s="8" t="s">
        <v>2074</v>
      </c>
      <c r="K466" s="6"/>
      <c r="L466" s="7" t="s">
        <v>22</v>
      </c>
      <c r="M466" s="6" t="s">
        <v>40</v>
      </c>
      <c r="N466" s="8" t="s">
        <v>2058</v>
      </c>
      <c r="O466" s="6">
        <f>HYPERLINK("https://docs.wto.org/imrd/directdoc.asp?DDFDocuments/t/G/SPS/NBDI19A1.DOCX", "https://docs.wto.org/imrd/directdoc.asp?DDFDocuments/t/G/SPS/NBDI19A1.DOCX")</f>
      </c>
      <c r="P466" s="6">
        <f>HYPERLINK("https://docs.wto.org/imrd/directdoc.asp?DDFDocuments/u/G/SPS/NBDI19A1.DOCX", "https://docs.wto.org/imrd/directdoc.asp?DDFDocuments/u/G/SPS/NBDI19A1.DOCX")</f>
      </c>
      <c r="Q466" s="6">
        <f>HYPERLINK("https://docs.wto.org/imrd/directdoc.asp?DDFDocuments/v/G/SPS/NBDI19A1.DOCX", "https://docs.wto.org/imrd/directdoc.asp?DDFDocuments/v/G/SPS/NBDI19A1.DOCX")</f>
      </c>
    </row>
    <row r="467">
      <c r="A467" s="6" t="s">
        <v>53</v>
      </c>
      <c r="B467" s="7">
        <v>45622</v>
      </c>
      <c r="C467" s="9">
        <f>HYPERLINK("https://eping.wto.org/en/Search?viewData= G/SPS/N/BDI/24/Add.2, G/SPS/N/KEN/177/Add.2, G/SPS/N/RWA/17/Add.2, G/SPS/N/TZA/208/Add.2, G/SPS/N/UGA/219/Add.2"," G/SPS/N/BDI/24/Add.2, G/SPS/N/KEN/177/Add.2, G/SPS/N/RWA/17/Add.2, G/SPS/N/TZA/208/Add.2, G/SPS/N/UGA/219/Add.2")</f>
      </c>
      <c r="D467" s="8" t="s">
        <v>2113</v>
      </c>
      <c r="E467" s="8" t="s">
        <v>2114</v>
      </c>
      <c r="F467" s="8" t="s">
        <v>2115</v>
      </c>
      <c r="G467" s="8" t="s">
        <v>2116</v>
      </c>
      <c r="H467" s="8" t="s">
        <v>2117</v>
      </c>
      <c r="I467" s="8" t="s">
        <v>120</v>
      </c>
      <c r="J467" s="8" t="s">
        <v>2069</v>
      </c>
      <c r="K467" s="6"/>
      <c r="L467" s="7" t="s">
        <v>22</v>
      </c>
      <c r="M467" s="6" t="s">
        <v>40</v>
      </c>
      <c r="N467" s="8" t="s">
        <v>2058</v>
      </c>
      <c r="O467" s="6">
        <f>HYPERLINK("https://docs.wto.org/imrd/directdoc.asp?DDFDocuments/t/G/SPS/NBDI24A2.DOCX", "https://docs.wto.org/imrd/directdoc.asp?DDFDocuments/t/G/SPS/NBDI24A2.DOCX")</f>
      </c>
      <c r="P467" s="6">
        <f>HYPERLINK("https://docs.wto.org/imrd/directdoc.asp?DDFDocuments/u/G/SPS/NBDI24A2.DOCX", "https://docs.wto.org/imrd/directdoc.asp?DDFDocuments/u/G/SPS/NBDI24A2.DOCX")</f>
      </c>
      <c r="Q467" s="6">
        <f>HYPERLINK("https://docs.wto.org/imrd/directdoc.asp?DDFDocuments/v/G/SPS/NBDI24A2.DOCX", "https://docs.wto.org/imrd/directdoc.asp?DDFDocuments/v/G/SPS/NBDI24A2.DOCX")</f>
      </c>
    </row>
    <row r="468">
      <c r="A468" s="6" t="s">
        <v>49</v>
      </c>
      <c r="B468" s="7">
        <v>45622</v>
      </c>
      <c r="C468" s="9">
        <f>HYPERLINK("https://eping.wto.org/en/Search?viewData= G/SPS/N/BDI/24/Add.2, G/SPS/N/KEN/177/Add.2, G/SPS/N/RWA/17/Add.2, G/SPS/N/TZA/208/Add.2, G/SPS/N/UGA/219/Add.2"," G/SPS/N/BDI/24/Add.2, G/SPS/N/KEN/177/Add.2, G/SPS/N/RWA/17/Add.2, G/SPS/N/TZA/208/Add.2, G/SPS/N/UGA/219/Add.2")</f>
      </c>
      <c r="D468" s="8" t="s">
        <v>2113</v>
      </c>
      <c r="E468" s="8" t="s">
        <v>2114</v>
      </c>
      <c r="F468" s="8" t="s">
        <v>2115</v>
      </c>
      <c r="G468" s="8" t="s">
        <v>2116</v>
      </c>
      <c r="H468" s="8" t="s">
        <v>2117</v>
      </c>
      <c r="I468" s="8" t="s">
        <v>120</v>
      </c>
      <c r="J468" s="8" t="s">
        <v>2069</v>
      </c>
      <c r="K468" s="6"/>
      <c r="L468" s="7" t="s">
        <v>22</v>
      </c>
      <c r="M468" s="6" t="s">
        <v>40</v>
      </c>
      <c r="N468" s="8" t="s">
        <v>2058</v>
      </c>
      <c r="O468" s="6">
        <f>HYPERLINK("https://docs.wto.org/imrd/directdoc.asp?DDFDocuments/t/G/SPS/NBDI24A2.DOCX", "https://docs.wto.org/imrd/directdoc.asp?DDFDocuments/t/G/SPS/NBDI24A2.DOCX")</f>
      </c>
      <c r="P468" s="6">
        <f>HYPERLINK("https://docs.wto.org/imrd/directdoc.asp?DDFDocuments/u/G/SPS/NBDI24A2.DOCX", "https://docs.wto.org/imrd/directdoc.asp?DDFDocuments/u/G/SPS/NBDI24A2.DOCX")</f>
      </c>
      <c r="Q468" s="6">
        <f>HYPERLINK("https://docs.wto.org/imrd/directdoc.asp?DDFDocuments/v/G/SPS/NBDI24A2.DOCX", "https://docs.wto.org/imrd/directdoc.asp?DDFDocuments/v/G/SPS/NBDI24A2.DOCX")</f>
      </c>
    </row>
    <row r="469">
      <c r="A469" s="6" t="s">
        <v>53</v>
      </c>
      <c r="B469" s="7">
        <v>45622</v>
      </c>
      <c r="C469" s="9">
        <f>HYPERLINK("https://eping.wto.org/en/Search?viewData= G/SPS/N/BDI/34/Add.2, G/SPS/N/KEN/190/Add.2, G/SPS/N/RWA/27/Add.2, G/SPS/N/TZA/228/Add.2, G/SPS/N/UGA/230/Add.2"," G/SPS/N/BDI/34/Add.2, G/SPS/N/KEN/190/Add.2, G/SPS/N/RWA/27/Add.2, G/SPS/N/TZA/228/Add.2, G/SPS/N/UGA/230/Add.2")</f>
      </c>
      <c r="D469" s="8" t="s">
        <v>2054</v>
      </c>
      <c r="E469" s="8" t="s">
        <v>2055</v>
      </c>
      <c r="F469" s="8" t="s">
        <v>2056</v>
      </c>
      <c r="G469" s="8" t="s">
        <v>2057</v>
      </c>
      <c r="H469" s="8" t="s">
        <v>79</v>
      </c>
      <c r="I469" s="8" t="s">
        <v>120</v>
      </c>
      <c r="J469" s="8" t="s">
        <v>214</v>
      </c>
      <c r="K469" s="6"/>
      <c r="L469" s="7" t="s">
        <v>22</v>
      </c>
      <c r="M469" s="6" t="s">
        <v>40</v>
      </c>
      <c r="N469" s="8" t="s">
        <v>2058</v>
      </c>
      <c r="O469" s="6">
        <f>HYPERLINK("https://docs.wto.org/imrd/directdoc.asp?DDFDocuments/t/G/SPS/NBDI34A2.DOCX", "https://docs.wto.org/imrd/directdoc.asp?DDFDocuments/t/G/SPS/NBDI34A2.DOCX")</f>
      </c>
      <c r="P469" s="6">
        <f>HYPERLINK("https://docs.wto.org/imrd/directdoc.asp?DDFDocuments/u/G/SPS/NBDI34A2.DOCX", "https://docs.wto.org/imrd/directdoc.asp?DDFDocuments/u/G/SPS/NBDI34A2.DOCX")</f>
      </c>
      <c r="Q469" s="6">
        <f>HYPERLINK("https://docs.wto.org/imrd/directdoc.asp?DDFDocuments/v/G/SPS/NBDI34A2.DOCX", "https://docs.wto.org/imrd/directdoc.asp?DDFDocuments/v/G/SPS/NBDI34A2.DOCX")</f>
      </c>
    </row>
    <row r="470">
      <c r="A470" s="6" t="s">
        <v>53</v>
      </c>
      <c r="B470" s="7">
        <v>45622</v>
      </c>
      <c r="C470" s="9">
        <f>HYPERLINK("https://eping.wto.org/en/Search?viewData= G/SPS/N/BDI/10/Add.1, G/SPS/N/KEN/162/Add.1, G/SPS/N/RWA/3/Add.1, G/SPS/N/TZA/194/Add.1, G/SPS/N/UGA/204/Add.1"," G/SPS/N/BDI/10/Add.1, G/SPS/N/KEN/162/Add.1, G/SPS/N/RWA/3/Add.1, G/SPS/N/TZA/194/Add.1, G/SPS/N/UGA/204/Add.1")</f>
      </c>
      <c r="D470" s="8" t="s">
        <v>2087</v>
      </c>
      <c r="E470" s="8" t="s">
        <v>2088</v>
      </c>
      <c r="F470" s="8" t="s">
        <v>2089</v>
      </c>
      <c r="G470" s="8" t="s">
        <v>2090</v>
      </c>
      <c r="H470" s="8" t="s">
        <v>2063</v>
      </c>
      <c r="I470" s="8" t="s">
        <v>120</v>
      </c>
      <c r="J470" s="8" t="s">
        <v>214</v>
      </c>
      <c r="K470" s="6"/>
      <c r="L470" s="7" t="s">
        <v>22</v>
      </c>
      <c r="M470" s="6" t="s">
        <v>40</v>
      </c>
      <c r="N470" s="8" t="s">
        <v>2058</v>
      </c>
      <c r="O470" s="6">
        <f>HYPERLINK("https://docs.wto.org/imrd/directdoc.asp?DDFDocuments/t/G/SPS/NBDI10A1.DOCX", "https://docs.wto.org/imrd/directdoc.asp?DDFDocuments/t/G/SPS/NBDI10A1.DOCX")</f>
      </c>
      <c r="P470" s="6">
        <f>HYPERLINK("https://docs.wto.org/imrd/directdoc.asp?DDFDocuments/u/G/SPS/NBDI10A1.DOCX", "https://docs.wto.org/imrd/directdoc.asp?DDFDocuments/u/G/SPS/NBDI10A1.DOCX")</f>
      </c>
      <c r="Q470" s="6">
        <f>HYPERLINK("https://docs.wto.org/imrd/directdoc.asp?DDFDocuments/v/G/SPS/NBDI10A1.DOCX", "https://docs.wto.org/imrd/directdoc.asp?DDFDocuments/v/G/SPS/NBDI10A1.DOCX")</f>
      </c>
    </row>
    <row r="471">
      <c r="A471" s="6" t="s">
        <v>418</v>
      </c>
      <c r="B471" s="7">
        <v>45622</v>
      </c>
      <c r="C471" s="9">
        <f>HYPERLINK("https://eping.wto.org/en/Search?viewData= G/SPS/N/EU/764/Add.1"," G/SPS/N/EU/764/Add.1")</f>
      </c>
      <c r="D471" s="8" t="s">
        <v>2119</v>
      </c>
      <c r="E471" s="8" t="s">
        <v>2120</v>
      </c>
      <c r="F471" s="8" t="s">
        <v>2121</v>
      </c>
      <c r="G471" s="8" t="s">
        <v>22</v>
      </c>
      <c r="H471" s="8" t="s">
        <v>22</v>
      </c>
      <c r="I471" s="8" t="s">
        <v>120</v>
      </c>
      <c r="J471" s="8" t="s">
        <v>2122</v>
      </c>
      <c r="K471" s="6"/>
      <c r="L471" s="7" t="s">
        <v>22</v>
      </c>
      <c r="M471" s="6" t="s">
        <v>40</v>
      </c>
      <c r="N471" s="8" t="s">
        <v>2123</v>
      </c>
      <c r="O471" s="6">
        <f>HYPERLINK("https://docs.wto.org/imrd/directdoc.asp?DDFDocuments/t/G/SPS/NEU764A1.DOCX", "https://docs.wto.org/imrd/directdoc.asp?DDFDocuments/t/G/SPS/NEU764A1.DOCX")</f>
      </c>
      <c r="P471" s="6">
        <f>HYPERLINK("https://docs.wto.org/imrd/directdoc.asp?DDFDocuments/u/G/SPS/NEU764A1.DOCX", "https://docs.wto.org/imrd/directdoc.asp?DDFDocuments/u/G/SPS/NEU764A1.DOCX")</f>
      </c>
      <c r="Q471" s="6">
        <f>HYPERLINK("https://docs.wto.org/imrd/directdoc.asp?DDFDocuments/v/G/SPS/NEU764A1.DOCX", "https://docs.wto.org/imrd/directdoc.asp?DDFDocuments/v/G/SPS/NEU764A1.DOCX")</f>
      </c>
    </row>
    <row r="472">
      <c r="A472" s="6" t="s">
        <v>49</v>
      </c>
      <c r="B472" s="7">
        <v>45622</v>
      </c>
      <c r="C472" s="9">
        <f>HYPERLINK("https://eping.wto.org/en/Search?viewData= G/SPS/N/BDI/35/Add.2, G/SPS/N/KEN/191/Add.2, G/SPS/N/RWA/28/Add.2, G/SPS/N/TZA/229/Add.2, G/SPS/N/UGA/231/Add.2"," G/SPS/N/BDI/35/Add.2, G/SPS/N/KEN/191/Add.2, G/SPS/N/RWA/28/Add.2, G/SPS/N/TZA/229/Add.2, G/SPS/N/UGA/231/Add.2")</f>
      </c>
      <c r="D472" s="8" t="s">
        <v>2083</v>
      </c>
      <c r="E472" s="8" t="s">
        <v>2084</v>
      </c>
      <c r="F472" s="8" t="s">
        <v>2085</v>
      </c>
      <c r="G472" s="8" t="s">
        <v>2086</v>
      </c>
      <c r="H472" s="8" t="s">
        <v>79</v>
      </c>
      <c r="I472" s="8" t="s">
        <v>120</v>
      </c>
      <c r="J472" s="8" t="s">
        <v>214</v>
      </c>
      <c r="K472" s="6"/>
      <c r="L472" s="7" t="s">
        <v>22</v>
      </c>
      <c r="M472" s="6" t="s">
        <v>40</v>
      </c>
      <c r="N472" s="8" t="s">
        <v>2058</v>
      </c>
      <c r="O472" s="6">
        <f>HYPERLINK("https://docs.wto.org/imrd/directdoc.asp?DDFDocuments/t/G/SPS/NBDI35A2.DOCX", "https://docs.wto.org/imrd/directdoc.asp?DDFDocuments/t/G/SPS/NBDI35A2.DOCX")</f>
      </c>
      <c r="P472" s="6">
        <f>HYPERLINK("https://docs.wto.org/imrd/directdoc.asp?DDFDocuments/u/G/SPS/NBDI35A2.DOCX", "https://docs.wto.org/imrd/directdoc.asp?DDFDocuments/u/G/SPS/NBDI35A2.DOCX")</f>
      </c>
      <c r="Q472" s="6">
        <f>HYPERLINK("https://docs.wto.org/imrd/directdoc.asp?DDFDocuments/v/G/SPS/NBDI35A2.DOCX", "https://docs.wto.org/imrd/directdoc.asp?DDFDocuments/v/G/SPS/NBDI35A2.DOCX")</f>
      </c>
    </row>
    <row r="473">
      <c r="A473" s="6" t="s">
        <v>60</v>
      </c>
      <c r="B473" s="7">
        <v>45622</v>
      </c>
      <c r="C473" s="9">
        <f>HYPERLINK("https://eping.wto.org/en/Search?viewData= G/SPS/N/BDI/22/Add.2, G/SPS/N/KEN/175/Add.2, G/SPS/N/RWA/15/Add.2, G/SPS/N/TZA/206/Add.2, G/SPS/N/UGA/217/Add.2"," G/SPS/N/BDI/22/Add.2, G/SPS/N/KEN/175/Add.2, G/SPS/N/RWA/15/Add.2, G/SPS/N/TZA/206/Add.2, G/SPS/N/UGA/217/Add.2")</f>
      </c>
      <c r="D473" s="8" t="s">
        <v>2095</v>
      </c>
      <c r="E473" s="8" t="s">
        <v>2096</v>
      </c>
      <c r="F473" s="8" t="s">
        <v>2097</v>
      </c>
      <c r="G473" s="8" t="s">
        <v>2098</v>
      </c>
      <c r="H473" s="8" t="s">
        <v>2099</v>
      </c>
      <c r="I473" s="8" t="s">
        <v>120</v>
      </c>
      <c r="J473" s="8" t="s">
        <v>214</v>
      </c>
      <c r="K473" s="6"/>
      <c r="L473" s="7" t="s">
        <v>22</v>
      </c>
      <c r="M473" s="6" t="s">
        <v>40</v>
      </c>
      <c r="N473" s="8" t="s">
        <v>2058</v>
      </c>
      <c r="O473" s="6">
        <f>HYPERLINK("https://docs.wto.org/imrd/directdoc.asp?DDFDocuments/t/G/SPS/NBDI22A2.DOCX", "https://docs.wto.org/imrd/directdoc.asp?DDFDocuments/t/G/SPS/NBDI22A2.DOCX")</f>
      </c>
      <c r="P473" s="6">
        <f>HYPERLINK("https://docs.wto.org/imrd/directdoc.asp?DDFDocuments/u/G/SPS/NBDI22A2.DOCX", "https://docs.wto.org/imrd/directdoc.asp?DDFDocuments/u/G/SPS/NBDI22A2.DOCX")</f>
      </c>
      <c r="Q473" s="6">
        <f>HYPERLINK("https://docs.wto.org/imrd/directdoc.asp?DDFDocuments/v/G/SPS/NBDI22A2.DOCX", "https://docs.wto.org/imrd/directdoc.asp?DDFDocuments/v/G/SPS/NBDI22A2.DOCX")</f>
      </c>
    </row>
    <row r="474">
      <c r="A474" s="6" t="s">
        <v>60</v>
      </c>
      <c r="B474" s="7">
        <v>45622</v>
      </c>
      <c r="C474" s="9">
        <f>HYPERLINK("https://eping.wto.org/en/Search?viewData= G/SPS/N/BDI/11/Add.1, G/SPS/N/KEN/163/Add.1, G/SPS/N/RWA/4/Add.1, G/SPS/N/TZA/195/Add.1, G/SPS/N/UGA/205/Add.1"," G/SPS/N/BDI/11/Add.1, G/SPS/N/KEN/163/Add.1, G/SPS/N/RWA/4/Add.1, G/SPS/N/TZA/195/Add.1, G/SPS/N/UGA/205/Add.1")</f>
      </c>
      <c r="D474" s="8" t="s">
        <v>2124</v>
      </c>
      <c r="E474" s="8" t="s">
        <v>2125</v>
      </c>
      <c r="F474" s="8" t="s">
        <v>2126</v>
      </c>
      <c r="G474" s="8" t="s">
        <v>2068</v>
      </c>
      <c r="H474" s="8" t="s">
        <v>2063</v>
      </c>
      <c r="I474" s="8" t="s">
        <v>120</v>
      </c>
      <c r="J474" s="8" t="s">
        <v>2064</v>
      </c>
      <c r="K474" s="6"/>
      <c r="L474" s="7" t="s">
        <v>22</v>
      </c>
      <c r="M474" s="6" t="s">
        <v>40</v>
      </c>
      <c r="N474" s="8" t="s">
        <v>2058</v>
      </c>
      <c r="O474" s="6">
        <f>HYPERLINK("https://docs.wto.org/imrd/directdoc.asp?DDFDocuments/t/G/SPS/NBDI11A1.DOCX", "https://docs.wto.org/imrd/directdoc.asp?DDFDocuments/t/G/SPS/NBDI11A1.DOCX")</f>
      </c>
      <c r="P474" s="6">
        <f>HYPERLINK("https://docs.wto.org/imrd/directdoc.asp?DDFDocuments/u/G/SPS/NBDI11A1.DOCX", "https://docs.wto.org/imrd/directdoc.asp?DDFDocuments/u/G/SPS/NBDI11A1.DOCX")</f>
      </c>
      <c r="Q474" s="6">
        <f>HYPERLINK("https://docs.wto.org/imrd/directdoc.asp?DDFDocuments/v/G/SPS/NBDI11A1.DOCX", "https://docs.wto.org/imrd/directdoc.asp?DDFDocuments/v/G/SPS/NBDI11A1.DOCX")</f>
      </c>
    </row>
    <row r="475">
      <c r="A475" s="6" t="s">
        <v>26</v>
      </c>
      <c r="B475" s="7">
        <v>45622</v>
      </c>
      <c r="C475" s="9">
        <f>HYPERLINK("https://eping.wto.org/en/Search?viewData= G/SPS/N/BDI/9/Add.1, G/SPS/N/KEN/161/Add.1, G/SPS/N/RWA/2/Add.1, G/SPS/N/TZA/193/Add.1, G/SPS/N/UGA/203/Add.1"," G/SPS/N/BDI/9/Add.1, G/SPS/N/KEN/161/Add.1, G/SPS/N/RWA/2/Add.1, G/SPS/N/TZA/193/Add.1, G/SPS/N/UGA/203/Add.1")</f>
      </c>
      <c r="D475" s="8" t="s">
        <v>2059</v>
      </c>
      <c r="E475" s="8" t="s">
        <v>2060</v>
      </c>
      <c r="F475" s="8" t="s">
        <v>2061</v>
      </c>
      <c r="G475" s="8" t="s">
        <v>2062</v>
      </c>
      <c r="H475" s="8" t="s">
        <v>2063</v>
      </c>
      <c r="I475" s="8" t="s">
        <v>120</v>
      </c>
      <c r="J475" s="8" t="s">
        <v>214</v>
      </c>
      <c r="K475" s="6"/>
      <c r="L475" s="7" t="s">
        <v>22</v>
      </c>
      <c r="M475" s="6" t="s">
        <v>40</v>
      </c>
      <c r="N475" s="8" t="s">
        <v>2058</v>
      </c>
      <c r="O475" s="6">
        <f>HYPERLINK("https://docs.wto.org/imrd/directdoc.asp?DDFDocuments/t/G/SPS/NBDI9A1.DOCX", "https://docs.wto.org/imrd/directdoc.asp?DDFDocuments/t/G/SPS/NBDI9A1.DOCX")</f>
      </c>
      <c r="P475" s="6">
        <f>HYPERLINK("https://docs.wto.org/imrd/directdoc.asp?DDFDocuments/u/G/SPS/NBDI9A1.DOCX", "https://docs.wto.org/imrd/directdoc.asp?DDFDocuments/u/G/SPS/NBDI9A1.DOCX")</f>
      </c>
      <c r="Q475" s="6">
        <f>HYPERLINK("https://docs.wto.org/imrd/directdoc.asp?DDFDocuments/v/G/SPS/NBDI9A1.DOCX", "https://docs.wto.org/imrd/directdoc.asp?DDFDocuments/v/G/SPS/NBDI9A1.DOCX")</f>
      </c>
    </row>
    <row r="476">
      <c r="A476" s="6" t="s">
        <v>68</v>
      </c>
      <c r="B476" s="7">
        <v>45622</v>
      </c>
      <c r="C476" s="9">
        <f>HYPERLINK("https://eping.wto.org/en/Search?viewData= G/SPS/N/BDI/33/Add.2, G/SPS/N/KEN/189/Add.2, G/SPS/N/RWA/26/Add.2, G/SPS/N/TZA/227/Add.2, G/SPS/N/UGA/229/Add.2"," G/SPS/N/BDI/33/Add.2, G/SPS/N/KEN/189/Add.2, G/SPS/N/RWA/26/Add.2, G/SPS/N/TZA/227/Add.2, G/SPS/N/UGA/229/Add.2")</f>
      </c>
      <c r="D476" s="8" t="s">
        <v>2079</v>
      </c>
      <c r="E476" s="8" t="s">
        <v>2080</v>
      </c>
      <c r="F476" s="8" t="s">
        <v>2081</v>
      </c>
      <c r="G476" s="8" t="s">
        <v>2082</v>
      </c>
      <c r="H476" s="8" t="s">
        <v>79</v>
      </c>
      <c r="I476" s="8" t="s">
        <v>120</v>
      </c>
      <c r="J476" s="8" t="s">
        <v>2108</v>
      </c>
      <c r="K476" s="6"/>
      <c r="L476" s="7" t="s">
        <v>22</v>
      </c>
      <c r="M476" s="6" t="s">
        <v>40</v>
      </c>
      <c r="N476" s="8" t="s">
        <v>2058</v>
      </c>
      <c r="O476" s="6">
        <f>HYPERLINK("https://docs.wto.org/imrd/directdoc.asp?DDFDocuments/t/G/SPS/NBDI33A2.DOCX", "https://docs.wto.org/imrd/directdoc.asp?DDFDocuments/t/G/SPS/NBDI33A2.DOCX")</f>
      </c>
      <c r="P476" s="6">
        <f>HYPERLINK("https://docs.wto.org/imrd/directdoc.asp?DDFDocuments/u/G/SPS/NBDI33A2.DOCX", "https://docs.wto.org/imrd/directdoc.asp?DDFDocuments/u/G/SPS/NBDI33A2.DOCX")</f>
      </c>
      <c r="Q476" s="6">
        <f>HYPERLINK("https://docs.wto.org/imrd/directdoc.asp?DDFDocuments/v/G/SPS/NBDI33A2.DOCX", "https://docs.wto.org/imrd/directdoc.asp?DDFDocuments/v/G/SPS/NBDI33A2.DOCX")</f>
      </c>
    </row>
    <row r="477">
      <c r="A477" s="6" t="s">
        <v>53</v>
      </c>
      <c r="B477" s="7">
        <v>45622</v>
      </c>
      <c r="C477" s="9">
        <f>HYPERLINK("https://eping.wto.org/en/Search?viewData= G/SPS/N/BDI/19/Add.1, G/SPS/N/KEN/171/Add.1, G/SPS/N/RWA/12/Add.1, G/SPS/N/TZA/203/Add.1, G/SPS/N/UGA/213/Add.1"," G/SPS/N/BDI/19/Add.1, G/SPS/N/KEN/171/Add.1, G/SPS/N/RWA/12/Add.1, G/SPS/N/TZA/203/Add.1, G/SPS/N/UGA/213/Add.1")</f>
      </c>
      <c r="D477" s="8" t="s">
        <v>2070</v>
      </c>
      <c r="E477" s="8" t="s">
        <v>2071</v>
      </c>
      <c r="F477" s="8" t="s">
        <v>2072</v>
      </c>
      <c r="G477" s="8" t="s">
        <v>21</v>
      </c>
      <c r="H477" s="8" t="s">
        <v>2073</v>
      </c>
      <c r="I477" s="8" t="s">
        <v>518</v>
      </c>
      <c r="J477" s="8" t="s">
        <v>2074</v>
      </c>
      <c r="K477" s="6"/>
      <c r="L477" s="7" t="s">
        <v>22</v>
      </c>
      <c r="M477" s="6" t="s">
        <v>40</v>
      </c>
      <c r="N477" s="8" t="s">
        <v>2058</v>
      </c>
      <c r="O477" s="6">
        <f>HYPERLINK("https://docs.wto.org/imrd/directdoc.asp?DDFDocuments/t/G/SPS/NBDI19A1.DOCX", "https://docs.wto.org/imrd/directdoc.asp?DDFDocuments/t/G/SPS/NBDI19A1.DOCX")</f>
      </c>
      <c r="P477" s="6">
        <f>HYPERLINK("https://docs.wto.org/imrd/directdoc.asp?DDFDocuments/u/G/SPS/NBDI19A1.DOCX", "https://docs.wto.org/imrd/directdoc.asp?DDFDocuments/u/G/SPS/NBDI19A1.DOCX")</f>
      </c>
      <c r="Q477" s="6">
        <f>HYPERLINK("https://docs.wto.org/imrd/directdoc.asp?DDFDocuments/v/G/SPS/NBDI19A1.DOCX", "https://docs.wto.org/imrd/directdoc.asp?DDFDocuments/v/G/SPS/NBDI19A1.DOCX")</f>
      </c>
    </row>
    <row r="478">
      <c r="A478" s="6" t="s">
        <v>53</v>
      </c>
      <c r="B478" s="7">
        <v>45622</v>
      </c>
      <c r="C478" s="9">
        <f>HYPERLINK("https://eping.wto.org/en/Search?viewData= G/SPS/N/BDI/23/Add.1, G/SPS/N/KEN/176/Add.1, G/SPS/N/RWA/16/Add.1, G/SPS/N/TZA/207/Add.1, G/SPS/N/UGA/218/Add.1"," G/SPS/N/BDI/23/Add.1, G/SPS/N/KEN/176/Add.1, G/SPS/N/RWA/16/Add.1, G/SPS/N/TZA/207/Add.1, G/SPS/N/UGA/218/Add.1")</f>
      </c>
      <c r="D478" s="8" t="s">
        <v>2103</v>
      </c>
      <c r="E478" s="8" t="s">
        <v>2104</v>
      </c>
      <c r="F478" s="8" t="s">
        <v>2105</v>
      </c>
      <c r="G478" s="8" t="s">
        <v>2106</v>
      </c>
      <c r="H478" s="8" t="s">
        <v>2107</v>
      </c>
      <c r="I478" s="8" t="s">
        <v>120</v>
      </c>
      <c r="J478" s="8" t="s">
        <v>2069</v>
      </c>
      <c r="K478" s="6"/>
      <c r="L478" s="7" t="s">
        <v>22</v>
      </c>
      <c r="M478" s="6" t="s">
        <v>40</v>
      </c>
      <c r="N478" s="8" t="s">
        <v>2058</v>
      </c>
      <c r="O478" s="6">
        <f>HYPERLINK("https://docs.wto.org/imrd/directdoc.asp?DDFDocuments/t/G/SPS/NBDI23A1.DOCX", "https://docs.wto.org/imrd/directdoc.asp?DDFDocuments/t/G/SPS/NBDI23A1.DOCX")</f>
      </c>
      <c r="P478" s="6">
        <f>HYPERLINK("https://docs.wto.org/imrd/directdoc.asp?DDFDocuments/u/G/SPS/NBDI23A1.DOCX", "https://docs.wto.org/imrd/directdoc.asp?DDFDocuments/u/G/SPS/NBDI23A1.DOCX")</f>
      </c>
      <c r="Q478" s="6">
        <f>HYPERLINK("https://docs.wto.org/imrd/directdoc.asp?DDFDocuments/v/G/SPS/NBDI23A1.DOCX", "https://docs.wto.org/imrd/directdoc.asp?DDFDocuments/v/G/SPS/NBDI23A1.DOCX")</f>
      </c>
    </row>
    <row r="479">
      <c r="A479" s="6" t="s">
        <v>26</v>
      </c>
      <c r="B479" s="7">
        <v>45622</v>
      </c>
      <c r="C479" s="9">
        <f>HYPERLINK("https://eping.wto.org/en/Search?viewData= G/SPS/N/BDI/14/Add.1, G/SPS/N/KEN/166/Add.1, G/SPS/N/RWA/7/Add.1, G/SPS/N/TZA/198/Add.1, G/SPS/N/UGA/208/Add.1"," G/SPS/N/BDI/14/Add.1, G/SPS/N/KEN/166/Add.1, G/SPS/N/RWA/7/Add.1, G/SPS/N/TZA/198/Add.1, G/SPS/N/UGA/208/Add.1")</f>
      </c>
      <c r="D479" s="8" t="s">
        <v>2065</v>
      </c>
      <c r="E479" s="8" t="s">
        <v>2066</v>
      </c>
      <c r="F479" s="8" t="s">
        <v>2067</v>
      </c>
      <c r="G479" s="8" t="s">
        <v>2068</v>
      </c>
      <c r="H479" s="8" t="s">
        <v>2063</v>
      </c>
      <c r="I479" s="8" t="s">
        <v>120</v>
      </c>
      <c r="J479" s="8" t="s">
        <v>2069</v>
      </c>
      <c r="K479" s="6"/>
      <c r="L479" s="7" t="s">
        <v>22</v>
      </c>
      <c r="M479" s="6" t="s">
        <v>40</v>
      </c>
      <c r="N479" s="8" t="s">
        <v>2058</v>
      </c>
      <c r="O479" s="6">
        <f>HYPERLINK("https://docs.wto.org/imrd/directdoc.asp?DDFDocuments/t/G/SPS/NBDI14A1.DOCX", "https://docs.wto.org/imrd/directdoc.asp?DDFDocuments/t/G/SPS/NBDI14A1.DOCX")</f>
      </c>
      <c r="P479" s="6">
        <f>HYPERLINK("https://docs.wto.org/imrd/directdoc.asp?DDFDocuments/u/G/SPS/NBDI14A1.DOCX", "https://docs.wto.org/imrd/directdoc.asp?DDFDocuments/u/G/SPS/NBDI14A1.DOCX")</f>
      </c>
      <c r="Q479" s="6">
        <f>HYPERLINK("https://docs.wto.org/imrd/directdoc.asp?DDFDocuments/v/G/SPS/NBDI14A1.DOCX", "https://docs.wto.org/imrd/directdoc.asp?DDFDocuments/v/G/SPS/NBDI14A1.DOCX")</f>
      </c>
    </row>
    <row r="480">
      <c r="A480" s="6" t="s">
        <v>60</v>
      </c>
      <c r="B480" s="7">
        <v>45622</v>
      </c>
      <c r="C480" s="9">
        <f>HYPERLINK("https://eping.wto.org/en/Search?viewData= G/SPS/N/BDI/32/Add.1, G/SPS/N/KEN/188/Add.1, G/SPS/N/RWA/25/Add.1, G/SPS/N/TZA/226/Add.1, G/SPS/N/UGA/228/Add.1"," G/SPS/N/BDI/32/Add.1, G/SPS/N/KEN/188/Add.1, G/SPS/N/RWA/25/Add.1, G/SPS/N/TZA/226/Add.1, G/SPS/N/UGA/228/Add.1")</f>
      </c>
      <c r="D480" s="8" t="s">
        <v>2109</v>
      </c>
      <c r="E480" s="8" t="s">
        <v>2110</v>
      </c>
      <c r="F480" s="8" t="s">
        <v>2111</v>
      </c>
      <c r="G480" s="8" t="s">
        <v>2112</v>
      </c>
      <c r="H480" s="8" t="s">
        <v>79</v>
      </c>
      <c r="I480" s="8" t="s">
        <v>120</v>
      </c>
      <c r="J480" s="8" t="s">
        <v>214</v>
      </c>
      <c r="K480" s="6"/>
      <c r="L480" s="7" t="s">
        <v>22</v>
      </c>
      <c r="M480" s="6" t="s">
        <v>40</v>
      </c>
      <c r="N480" s="8" t="s">
        <v>2058</v>
      </c>
      <c r="O480" s="6">
        <f>HYPERLINK("https://docs.wto.org/imrd/directdoc.asp?DDFDocuments/t/G/SPS/NBDI32A1.DOCX", "https://docs.wto.org/imrd/directdoc.asp?DDFDocuments/t/G/SPS/NBDI32A1.DOCX")</f>
      </c>
      <c r="P480" s="6">
        <f>HYPERLINK("https://docs.wto.org/imrd/directdoc.asp?DDFDocuments/u/G/SPS/NBDI32A1.DOCX", "https://docs.wto.org/imrd/directdoc.asp?DDFDocuments/u/G/SPS/NBDI32A1.DOCX")</f>
      </c>
      <c r="Q480" s="6">
        <f>HYPERLINK("https://docs.wto.org/imrd/directdoc.asp?DDFDocuments/v/G/SPS/NBDI32A1.DOCX", "https://docs.wto.org/imrd/directdoc.asp?DDFDocuments/v/G/SPS/NBDI32A1.DOCX")</f>
      </c>
    </row>
    <row r="481">
      <c r="A481" s="6" t="s">
        <v>847</v>
      </c>
      <c r="B481" s="7">
        <v>45622</v>
      </c>
      <c r="C481" s="9">
        <f>HYPERLINK("https://eping.wto.org/en/Search?viewData= G/TBT/N/UKR/322"," G/TBT/N/UKR/322")</f>
      </c>
      <c r="D481" s="8" t="s">
        <v>2127</v>
      </c>
      <c r="E481" s="8" t="s">
        <v>2128</v>
      </c>
      <c r="F481" s="8" t="s">
        <v>2129</v>
      </c>
      <c r="G481" s="8" t="s">
        <v>2130</v>
      </c>
      <c r="H481" s="8" t="s">
        <v>1630</v>
      </c>
      <c r="I481" s="8" t="s">
        <v>1042</v>
      </c>
      <c r="J481" s="8" t="s">
        <v>139</v>
      </c>
      <c r="K481" s="6"/>
      <c r="L481" s="7">
        <v>45682</v>
      </c>
      <c r="M481" s="6" t="s">
        <v>32</v>
      </c>
      <c r="N481" s="8" t="s">
        <v>2131</v>
      </c>
      <c r="O481" s="6">
        <f>HYPERLINK("https://docs.wto.org/imrd/directdoc.asp?DDFDocuments/t/G/TBTN24/UKR322.DOCX", "https://docs.wto.org/imrd/directdoc.asp?DDFDocuments/t/G/TBTN24/UKR322.DOCX")</f>
      </c>
      <c r="P481" s="6">
        <f>HYPERLINK("https://docs.wto.org/imrd/directdoc.asp?DDFDocuments/u/G/TBTN24/UKR322.DOCX", "https://docs.wto.org/imrd/directdoc.asp?DDFDocuments/u/G/TBTN24/UKR322.DOCX")</f>
      </c>
      <c r="Q481" s="6">
        <f>HYPERLINK("https://docs.wto.org/imrd/directdoc.asp?DDFDocuments/v/G/TBTN24/UKR322.DOCX", "https://docs.wto.org/imrd/directdoc.asp?DDFDocuments/v/G/TBTN24/UKR322.DOCX")</f>
      </c>
    </row>
    <row r="482">
      <c r="A482" s="6" t="s">
        <v>68</v>
      </c>
      <c r="B482" s="7">
        <v>45622</v>
      </c>
      <c r="C482" s="9">
        <f>HYPERLINK("https://eping.wto.org/en/Search?viewData= G/SPS/N/BDI/13/Add.1, G/SPS/N/KEN/165/Add.1, G/SPS/N/RWA/6/Add.1, G/SPS/N/TZA/197/Add.1, G/SPS/N/UGA/207/Add.1"," G/SPS/N/BDI/13/Add.1, G/SPS/N/KEN/165/Add.1, G/SPS/N/RWA/6/Add.1, G/SPS/N/TZA/197/Add.1, G/SPS/N/UGA/207/Add.1")</f>
      </c>
      <c r="D482" s="8" t="s">
        <v>2132</v>
      </c>
      <c r="E482" s="8" t="s">
        <v>2133</v>
      </c>
      <c r="F482" s="8" t="s">
        <v>2134</v>
      </c>
      <c r="G482" s="8" t="s">
        <v>2135</v>
      </c>
      <c r="H482" s="8" t="s">
        <v>2063</v>
      </c>
      <c r="I482" s="8" t="s">
        <v>120</v>
      </c>
      <c r="J482" s="8" t="s">
        <v>214</v>
      </c>
      <c r="K482" s="6"/>
      <c r="L482" s="7" t="s">
        <v>22</v>
      </c>
      <c r="M482" s="6" t="s">
        <v>40</v>
      </c>
      <c r="N482" s="8" t="s">
        <v>2058</v>
      </c>
      <c r="O482" s="6">
        <f>HYPERLINK("https://docs.wto.org/imrd/directdoc.asp?DDFDocuments/t/G/SPS/NBDI13A1.DOCX", "https://docs.wto.org/imrd/directdoc.asp?DDFDocuments/t/G/SPS/NBDI13A1.DOCX")</f>
      </c>
      <c r="P482" s="6">
        <f>HYPERLINK("https://docs.wto.org/imrd/directdoc.asp?DDFDocuments/u/G/SPS/NBDI13A1.DOCX", "https://docs.wto.org/imrd/directdoc.asp?DDFDocuments/u/G/SPS/NBDI13A1.DOCX")</f>
      </c>
      <c r="Q482" s="6">
        <f>HYPERLINK("https://docs.wto.org/imrd/directdoc.asp?DDFDocuments/v/G/SPS/NBDI13A1.DOCX", "https://docs.wto.org/imrd/directdoc.asp?DDFDocuments/v/G/SPS/NBDI13A1.DOCX")</f>
      </c>
    </row>
    <row r="483">
      <c r="A483" s="6" t="s">
        <v>418</v>
      </c>
      <c r="B483" s="7">
        <v>45622</v>
      </c>
      <c r="C483" s="9">
        <f>HYPERLINK("https://eping.wto.org/en/Search?viewData= G/TBT/N/EU/1098"," G/TBT/N/EU/1098")</f>
      </c>
      <c r="D483" s="8" t="s">
        <v>2136</v>
      </c>
      <c r="E483" s="8" t="s">
        <v>2137</v>
      </c>
      <c r="F483" s="8" t="s">
        <v>2138</v>
      </c>
      <c r="G483" s="8" t="s">
        <v>22</v>
      </c>
      <c r="H483" s="8" t="s">
        <v>2139</v>
      </c>
      <c r="I483" s="8" t="s">
        <v>1482</v>
      </c>
      <c r="J483" s="8" t="s">
        <v>22</v>
      </c>
      <c r="K483" s="6"/>
      <c r="L483" s="7">
        <v>45682</v>
      </c>
      <c r="M483" s="6" t="s">
        <v>32</v>
      </c>
      <c r="N483" s="8" t="s">
        <v>2140</v>
      </c>
      <c r="O483" s="6">
        <f>HYPERLINK("https://docs.wto.org/imrd/directdoc.asp?DDFDocuments/t/G/TBTN24/EU1098.DOCX", "https://docs.wto.org/imrd/directdoc.asp?DDFDocuments/t/G/TBTN24/EU1098.DOCX")</f>
      </c>
      <c r="P483" s="6">
        <f>HYPERLINK("https://docs.wto.org/imrd/directdoc.asp?DDFDocuments/u/G/TBTN24/EU1098.DOCX", "https://docs.wto.org/imrd/directdoc.asp?DDFDocuments/u/G/TBTN24/EU1098.DOCX")</f>
      </c>
      <c r="Q483" s="6">
        <f>HYPERLINK("https://docs.wto.org/imrd/directdoc.asp?DDFDocuments/v/G/TBTN24/EU1098.DOCX", "https://docs.wto.org/imrd/directdoc.asp?DDFDocuments/v/G/TBTN24/EU1098.DOCX")</f>
      </c>
    </row>
    <row r="484">
      <c r="A484" s="6" t="s">
        <v>60</v>
      </c>
      <c r="B484" s="7">
        <v>45622</v>
      </c>
      <c r="C484" s="9">
        <f>HYPERLINK("https://eping.wto.org/en/Search?viewData= G/SPS/N/BDI/35/Add.2, G/SPS/N/KEN/191/Add.2, G/SPS/N/RWA/28/Add.2, G/SPS/N/TZA/229/Add.2, G/SPS/N/UGA/231/Add.2"," G/SPS/N/BDI/35/Add.2, G/SPS/N/KEN/191/Add.2, G/SPS/N/RWA/28/Add.2, G/SPS/N/TZA/229/Add.2, G/SPS/N/UGA/231/Add.2")</f>
      </c>
      <c r="D484" s="8" t="s">
        <v>2083</v>
      </c>
      <c r="E484" s="8" t="s">
        <v>2084</v>
      </c>
      <c r="F484" s="8" t="s">
        <v>2085</v>
      </c>
      <c r="G484" s="8" t="s">
        <v>2086</v>
      </c>
      <c r="H484" s="8" t="s">
        <v>79</v>
      </c>
      <c r="I484" s="8" t="s">
        <v>120</v>
      </c>
      <c r="J484" s="8" t="s">
        <v>2064</v>
      </c>
      <c r="K484" s="6"/>
      <c r="L484" s="7" t="s">
        <v>22</v>
      </c>
      <c r="M484" s="6" t="s">
        <v>40</v>
      </c>
      <c r="N484" s="8" t="s">
        <v>2058</v>
      </c>
      <c r="O484" s="6">
        <f>HYPERLINK("https://docs.wto.org/imrd/directdoc.asp?DDFDocuments/t/G/SPS/NBDI35A2.DOCX", "https://docs.wto.org/imrd/directdoc.asp?DDFDocuments/t/G/SPS/NBDI35A2.DOCX")</f>
      </c>
      <c r="P484" s="6">
        <f>HYPERLINK("https://docs.wto.org/imrd/directdoc.asp?DDFDocuments/u/G/SPS/NBDI35A2.DOCX", "https://docs.wto.org/imrd/directdoc.asp?DDFDocuments/u/G/SPS/NBDI35A2.DOCX")</f>
      </c>
      <c r="Q484" s="6">
        <f>HYPERLINK("https://docs.wto.org/imrd/directdoc.asp?DDFDocuments/v/G/SPS/NBDI35A2.DOCX", "https://docs.wto.org/imrd/directdoc.asp?DDFDocuments/v/G/SPS/NBDI35A2.DOCX")</f>
      </c>
    </row>
    <row r="485">
      <c r="A485" s="6" t="s">
        <v>26</v>
      </c>
      <c r="B485" s="7">
        <v>45622</v>
      </c>
      <c r="C485" s="9">
        <f>HYPERLINK("https://eping.wto.org/en/Search?viewData= G/SPS/N/BDI/31/Add.2, G/SPS/N/KEN/187/Add.2, G/SPS/N/RWA/24/Add.2, G/SPS/N/TZA/225/Add.2, G/SPS/N/UGA/227/Add.2"," G/SPS/N/BDI/31/Add.2, G/SPS/N/KEN/187/Add.2, G/SPS/N/RWA/24/Add.2, G/SPS/N/TZA/225/Add.2, G/SPS/N/UGA/227/Add.2")</f>
      </c>
      <c r="D485" s="8" t="s">
        <v>2091</v>
      </c>
      <c r="E485" s="8" t="s">
        <v>2092</v>
      </c>
      <c r="F485" s="8" t="s">
        <v>2093</v>
      </c>
      <c r="G485" s="8" t="s">
        <v>2094</v>
      </c>
      <c r="H485" s="8" t="s">
        <v>79</v>
      </c>
      <c r="I485" s="8" t="s">
        <v>120</v>
      </c>
      <c r="J485" s="8" t="s">
        <v>214</v>
      </c>
      <c r="K485" s="6"/>
      <c r="L485" s="7" t="s">
        <v>22</v>
      </c>
      <c r="M485" s="6" t="s">
        <v>40</v>
      </c>
      <c r="N485" s="8" t="s">
        <v>2058</v>
      </c>
      <c r="O485" s="6">
        <f>HYPERLINK("https://docs.wto.org/imrd/directdoc.asp?DDFDocuments/t/G/SPS/NBDI31A2.DOCX", "https://docs.wto.org/imrd/directdoc.asp?DDFDocuments/t/G/SPS/NBDI31A2.DOCX")</f>
      </c>
      <c r="P485" s="6">
        <f>HYPERLINK("https://docs.wto.org/imrd/directdoc.asp?DDFDocuments/u/G/SPS/NBDI31A2.DOCX", "https://docs.wto.org/imrd/directdoc.asp?DDFDocuments/u/G/SPS/NBDI31A2.DOCX")</f>
      </c>
      <c r="Q485" s="6">
        <f>HYPERLINK("https://docs.wto.org/imrd/directdoc.asp?DDFDocuments/v/G/SPS/NBDI31A2.DOCX", "https://docs.wto.org/imrd/directdoc.asp?DDFDocuments/v/G/SPS/NBDI31A2.DOCX")</f>
      </c>
    </row>
    <row r="486">
      <c r="A486" s="6" t="s">
        <v>26</v>
      </c>
      <c r="B486" s="7">
        <v>45622</v>
      </c>
      <c r="C486" s="9">
        <f>HYPERLINK("https://eping.wto.org/en/Search?viewData= G/SPS/N/BDI/22/Add.2, G/SPS/N/KEN/175/Add.2, G/SPS/N/RWA/15/Add.2, G/SPS/N/TZA/206/Add.2, G/SPS/N/UGA/217/Add.2"," G/SPS/N/BDI/22/Add.2, G/SPS/N/KEN/175/Add.2, G/SPS/N/RWA/15/Add.2, G/SPS/N/TZA/206/Add.2, G/SPS/N/UGA/217/Add.2")</f>
      </c>
      <c r="D486" s="8" t="s">
        <v>2095</v>
      </c>
      <c r="E486" s="8" t="s">
        <v>2096</v>
      </c>
      <c r="F486" s="8" t="s">
        <v>2097</v>
      </c>
      <c r="G486" s="8" t="s">
        <v>2098</v>
      </c>
      <c r="H486" s="8" t="s">
        <v>2099</v>
      </c>
      <c r="I486" s="8" t="s">
        <v>120</v>
      </c>
      <c r="J486" s="8" t="s">
        <v>214</v>
      </c>
      <c r="K486" s="6"/>
      <c r="L486" s="7" t="s">
        <v>22</v>
      </c>
      <c r="M486" s="6" t="s">
        <v>40</v>
      </c>
      <c r="N486" s="8" t="s">
        <v>2058</v>
      </c>
      <c r="O486" s="6">
        <f>HYPERLINK("https://docs.wto.org/imrd/directdoc.asp?DDFDocuments/t/G/SPS/NBDI22A2.DOCX", "https://docs.wto.org/imrd/directdoc.asp?DDFDocuments/t/G/SPS/NBDI22A2.DOCX")</f>
      </c>
      <c r="P486" s="6">
        <f>HYPERLINK("https://docs.wto.org/imrd/directdoc.asp?DDFDocuments/u/G/SPS/NBDI22A2.DOCX", "https://docs.wto.org/imrd/directdoc.asp?DDFDocuments/u/G/SPS/NBDI22A2.DOCX")</f>
      </c>
      <c r="Q486" s="6">
        <f>HYPERLINK("https://docs.wto.org/imrd/directdoc.asp?DDFDocuments/v/G/SPS/NBDI22A2.DOCX", "https://docs.wto.org/imrd/directdoc.asp?DDFDocuments/v/G/SPS/NBDI22A2.DOCX")</f>
      </c>
    </row>
    <row r="487">
      <c r="A487" s="6" t="s">
        <v>26</v>
      </c>
      <c r="B487" s="7">
        <v>45622</v>
      </c>
      <c r="C487" s="9">
        <f>HYPERLINK("https://eping.wto.org/en/Search?viewData= G/SPS/N/BDI/23/Add.1, G/SPS/N/KEN/176/Add.1, G/SPS/N/RWA/16/Add.1, G/SPS/N/TZA/207/Add.1, G/SPS/N/UGA/218/Add.1"," G/SPS/N/BDI/23/Add.1, G/SPS/N/KEN/176/Add.1, G/SPS/N/RWA/16/Add.1, G/SPS/N/TZA/207/Add.1, G/SPS/N/UGA/218/Add.1")</f>
      </c>
      <c r="D487" s="8" t="s">
        <v>2103</v>
      </c>
      <c r="E487" s="8" t="s">
        <v>2104</v>
      </c>
      <c r="F487" s="8" t="s">
        <v>2105</v>
      </c>
      <c r="G487" s="8" t="s">
        <v>2106</v>
      </c>
      <c r="H487" s="8" t="s">
        <v>2107</v>
      </c>
      <c r="I487" s="8" t="s">
        <v>120</v>
      </c>
      <c r="J487" s="8" t="s">
        <v>2069</v>
      </c>
      <c r="K487" s="6"/>
      <c r="L487" s="7" t="s">
        <v>22</v>
      </c>
      <c r="M487" s="6" t="s">
        <v>40</v>
      </c>
      <c r="N487" s="8" t="s">
        <v>2058</v>
      </c>
      <c r="O487" s="6">
        <f>HYPERLINK("https://docs.wto.org/imrd/directdoc.asp?DDFDocuments/t/G/SPS/NBDI23A1.DOCX", "https://docs.wto.org/imrd/directdoc.asp?DDFDocuments/t/G/SPS/NBDI23A1.DOCX")</f>
      </c>
      <c r="P487" s="6">
        <f>HYPERLINK("https://docs.wto.org/imrd/directdoc.asp?DDFDocuments/u/G/SPS/NBDI23A1.DOCX", "https://docs.wto.org/imrd/directdoc.asp?DDFDocuments/u/G/SPS/NBDI23A1.DOCX")</f>
      </c>
      <c r="Q487" s="6">
        <f>HYPERLINK("https://docs.wto.org/imrd/directdoc.asp?DDFDocuments/v/G/SPS/NBDI23A1.DOCX", "https://docs.wto.org/imrd/directdoc.asp?DDFDocuments/v/G/SPS/NBDI23A1.DOCX")</f>
      </c>
    </row>
    <row r="488">
      <c r="A488" s="6" t="s">
        <v>26</v>
      </c>
      <c r="B488" s="7">
        <v>45622</v>
      </c>
      <c r="C488" s="9">
        <f>HYPERLINK("https://eping.wto.org/en/Search?viewData= G/SPS/N/BDI/32/Add.1, G/SPS/N/KEN/188/Add.1, G/SPS/N/RWA/25/Add.1, G/SPS/N/TZA/226/Add.1, G/SPS/N/UGA/228/Add.1"," G/SPS/N/BDI/32/Add.1, G/SPS/N/KEN/188/Add.1, G/SPS/N/RWA/25/Add.1, G/SPS/N/TZA/226/Add.1, G/SPS/N/UGA/228/Add.1")</f>
      </c>
      <c r="D488" s="8" t="s">
        <v>2109</v>
      </c>
      <c r="E488" s="8" t="s">
        <v>2110</v>
      </c>
      <c r="F488" s="8" t="s">
        <v>2111</v>
      </c>
      <c r="G488" s="8" t="s">
        <v>2112</v>
      </c>
      <c r="H488" s="8" t="s">
        <v>79</v>
      </c>
      <c r="I488" s="8" t="s">
        <v>120</v>
      </c>
      <c r="J488" s="8" t="s">
        <v>214</v>
      </c>
      <c r="K488" s="6"/>
      <c r="L488" s="7" t="s">
        <v>22</v>
      </c>
      <c r="M488" s="6" t="s">
        <v>40</v>
      </c>
      <c r="N488" s="8" t="s">
        <v>2058</v>
      </c>
      <c r="O488" s="6">
        <f>HYPERLINK("https://docs.wto.org/imrd/directdoc.asp?DDFDocuments/t/G/SPS/NBDI32A1.DOCX", "https://docs.wto.org/imrd/directdoc.asp?DDFDocuments/t/G/SPS/NBDI32A1.DOCX")</f>
      </c>
      <c r="P488" s="6">
        <f>HYPERLINK("https://docs.wto.org/imrd/directdoc.asp?DDFDocuments/u/G/SPS/NBDI32A1.DOCX", "https://docs.wto.org/imrd/directdoc.asp?DDFDocuments/u/G/SPS/NBDI32A1.DOCX")</f>
      </c>
      <c r="Q488" s="6">
        <f>HYPERLINK("https://docs.wto.org/imrd/directdoc.asp?DDFDocuments/v/G/SPS/NBDI32A1.DOCX", "https://docs.wto.org/imrd/directdoc.asp?DDFDocuments/v/G/SPS/NBDI32A1.DOCX")</f>
      </c>
    </row>
    <row r="489">
      <c r="A489" s="6" t="s">
        <v>68</v>
      </c>
      <c r="B489" s="7">
        <v>45622</v>
      </c>
      <c r="C489" s="9">
        <f>HYPERLINK("https://eping.wto.org/en/Search?viewData= G/SPS/N/BDI/11/Add.1, G/SPS/N/KEN/163/Add.1, G/SPS/N/RWA/4/Add.1, G/SPS/N/TZA/195/Add.1, G/SPS/N/UGA/205/Add.1"," G/SPS/N/BDI/11/Add.1, G/SPS/N/KEN/163/Add.1, G/SPS/N/RWA/4/Add.1, G/SPS/N/TZA/195/Add.1, G/SPS/N/UGA/205/Add.1")</f>
      </c>
      <c r="D489" s="8" t="s">
        <v>2124</v>
      </c>
      <c r="E489" s="8" t="s">
        <v>2125</v>
      </c>
      <c r="F489" s="8" t="s">
        <v>2126</v>
      </c>
      <c r="G489" s="8" t="s">
        <v>2068</v>
      </c>
      <c r="H489" s="8" t="s">
        <v>2063</v>
      </c>
      <c r="I489" s="8" t="s">
        <v>120</v>
      </c>
      <c r="J489" s="8" t="s">
        <v>2108</v>
      </c>
      <c r="K489" s="6"/>
      <c r="L489" s="7" t="s">
        <v>22</v>
      </c>
      <c r="M489" s="6" t="s">
        <v>40</v>
      </c>
      <c r="N489" s="8" t="s">
        <v>2058</v>
      </c>
      <c r="O489" s="6">
        <f>HYPERLINK("https://docs.wto.org/imrd/directdoc.asp?DDFDocuments/t/G/SPS/NBDI11A1.DOCX", "https://docs.wto.org/imrd/directdoc.asp?DDFDocuments/t/G/SPS/NBDI11A1.DOCX")</f>
      </c>
      <c r="P489" s="6">
        <f>HYPERLINK("https://docs.wto.org/imrd/directdoc.asp?DDFDocuments/u/G/SPS/NBDI11A1.DOCX", "https://docs.wto.org/imrd/directdoc.asp?DDFDocuments/u/G/SPS/NBDI11A1.DOCX")</f>
      </c>
      <c r="Q489" s="6">
        <f>HYPERLINK("https://docs.wto.org/imrd/directdoc.asp?DDFDocuments/v/G/SPS/NBDI11A1.DOCX", "https://docs.wto.org/imrd/directdoc.asp?DDFDocuments/v/G/SPS/NBDI11A1.DOCX")</f>
      </c>
    </row>
    <row r="490">
      <c r="A490" s="6" t="s">
        <v>60</v>
      </c>
      <c r="B490" s="7">
        <v>45622</v>
      </c>
      <c r="C490" s="9">
        <f>HYPERLINK("https://eping.wto.org/en/Search?viewData= G/SPS/N/BDI/21/Add.1, G/SPS/N/KEN/174/Add.1, G/SPS/N/RWA/14/Add.1, G/SPS/N/TZA/205/Add.1, G/SPS/N/UGA/215/Add.1"," G/SPS/N/BDI/21/Add.1, G/SPS/N/KEN/174/Add.1, G/SPS/N/RWA/14/Add.1, G/SPS/N/TZA/205/Add.1, G/SPS/N/UGA/215/Add.1")</f>
      </c>
      <c r="D490" s="8" t="s">
        <v>2141</v>
      </c>
      <c r="E490" s="8" t="s">
        <v>2142</v>
      </c>
      <c r="F490" s="8" t="s">
        <v>2143</v>
      </c>
      <c r="G490" s="8" t="s">
        <v>2144</v>
      </c>
      <c r="H490" s="8" t="s">
        <v>2073</v>
      </c>
      <c r="I490" s="8" t="s">
        <v>390</v>
      </c>
      <c r="J490" s="8" t="s">
        <v>2145</v>
      </c>
      <c r="K490" s="6"/>
      <c r="L490" s="7" t="s">
        <v>22</v>
      </c>
      <c r="M490" s="6" t="s">
        <v>40</v>
      </c>
      <c r="N490" s="8" t="s">
        <v>2058</v>
      </c>
      <c r="O490" s="6">
        <f>HYPERLINK("https://docs.wto.org/imrd/directdoc.asp?DDFDocuments/t/G/SPS/NBDI21A1.DOCX", "https://docs.wto.org/imrd/directdoc.asp?DDFDocuments/t/G/SPS/NBDI21A1.DOCX")</f>
      </c>
      <c r="P490" s="6">
        <f>HYPERLINK("https://docs.wto.org/imrd/directdoc.asp?DDFDocuments/u/G/SPS/NBDI21A1.DOCX", "https://docs.wto.org/imrd/directdoc.asp?DDFDocuments/u/G/SPS/NBDI21A1.DOCX")</f>
      </c>
      <c r="Q490" s="6">
        <f>HYPERLINK("https://docs.wto.org/imrd/directdoc.asp?DDFDocuments/v/G/SPS/NBDI21A1.DOCX", "https://docs.wto.org/imrd/directdoc.asp?DDFDocuments/v/G/SPS/NBDI21A1.DOCX")</f>
      </c>
    </row>
    <row r="491">
      <c r="A491" s="6" t="s">
        <v>53</v>
      </c>
      <c r="B491" s="7">
        <v>45622</v>
      </c>
      <c r="C491" s="9">
        <f>HYPERLINK("https://eping.wto.org/en/Search?viewData= G/SPS/N/BDI/21/Add.1, G/SPS/N/KEN/174/Add.1, G/SPS/N/RWA/14/Add.1, G/SPS/N/TZA/205/Add.1, G/SPS/N/UGA/215/Add.1"," G/SPS/N/BDI/21/Add.1, G/SPS/N/KEN/174/Add.1, G/SPS/N/RWA/14/Add.1, G/SPS/N/TZA/205/Add.1, G/SPS/N/UGA/215/Add.1")</f>
      </c>
      <c r="D491" s="8" t="s">
        <v>2141</v>
      </c>
      <c r="E491" s="8" t="s">
        <v>2142</v>
      </c>
      <c r="F491" s="8" t="s">
        <v>2143</v>
      </c>
      <c r="G491" s="8" t="s">
        <v>2144</v>
      </c>
      <c r="H491" s="8" t="s">
        <v>2073</v>
      </c>
      <c r="I491" s="8" t="s">
        <v>390</v>
      </c>
      <c r="J491" s="8" t="s">
        <v>2146</v>
      </c>
      <c r="K491" s="6"/>
      <c r="L491" s="7" t="s">
        <v>22</v>
      </c>
      <c r="M491" s="6" t="s">
        <v>40</v>
      </c>
      <c r="N491" s="8" t="s">
        <v>2058</v>
      </c>
      <c r="O491" s="6">
        <f>HYPERLINK("https://docs.wto.org/imrd/directdoc.asp?DDFDocuments/t/G/SPS/NBDI21A1.DOCX", "https://docs.wto.org/imrd/directdoc.asp?DDFDocuments/t/G/SPS/NBDI21A1.DOCX")</f>
      </c>
      <c r="P491" s="6">
        <f>HYPERLINK("https://docs.wto.org/imrd/directdoc.asp?DDFDocuments/u/G/SPS/NBDI21A1.DOCX", "https://docs.wto.org/imrd/directdoc.asp?DDFDocuments/u/G/SPS/NBDI21A1.DOCX")</f>
      </c>
      <c r="Q491" s="6">
        <f>HYPERLINK("https://docs.wto.org/imrd/directdoc.asp?DDFDocuments/v/G/SPS/NBDI21A1.DOCX", "https://docs.wto.org/imrd/directdoc.asp?DDFDocuments/v/G/SPS/NBDI21A1.DOCX")</f>
      </c>
    </row>
    <row r="492">
      <c r="A492" s="6" t="s">
        <v>26</v>
      </c>
      <c r="B492" s="7">
        <v>45622</v>
      </c>
      <c r="C492" s="9">
        <f>HYPERLINK("https://eping.wto.org/en/Search?viewData= G/SPS/N/BDI/21/Add.1, G/SPS/N/KEN/174/Add.1, G/SPS/N/RWA/14/Add.1, G/SPS/N/TZA/205/Add.1, G/SPS/N/UGA/215/Add.1"," G/SPS/N/BDI/21/Add.1, G/SPS/N/KEN/174/Add.1, G/SPS/N/RWA/14/Add.1, G/SPS/N/TZA/205/Add.1, G/SPS/N/UGA/215/Add.1")</f>
      </c>
      <c r="D492" s="8" t="s">
        <v>2141</v>
      </c>
      <c r="E492" s="8" t="s">
        <v>2142</v>
      </c>
      <c r="F492" s="8" t="s">
        <v>2143</v>
      </c>
      <c r="G492" s="8" t="s">
        <v>2144</v>
      </c>
      <c r="H492" s="8" t="s">
        <v>2073</v>
      </c>
      <c r="I492" s="8" t="s">
        <v>390</v>
      </c>
      <c r="J492" s="8" t="s">
        <v>2146</v>
      </c>
      <c r="K492" s="6"/>
      <c r="L492" s="7" t="s">
        <v>22</v>
      </c>
      <c r="M492" s="6" t="s">
        <v>40</v>
      </c>
      <c r="N492" s="8" t="s">
        <v>2058</v>
      </c>
      <c r="O492" s="6">
        <f>HYPERLINK("https://docs.wto.org/imrd/directdoc.asp?DDFDocuments/t/G/SPS/NBDI21A1.DOCX", "https://docs.wto.org/imrd/directdoc.asp?DDFDocuments/t/G/SPS/NBDI21A1.DOCX")</f>
      </c>
      <c r="P492" s="6">
        <f>HYPERLINK("https://docs.wto.org/imrd/directdoc.asp?DDFDocuments/u/G/SPS/NBDI21A1.DOCX", "https://docs.wto.org/imrd/directdoc.asp?DDFDocuments/u/G/SPS/NBDI21A1.DOCX")</f>
      </c>
      <c r="Q492" s="6">
        <f>HYPERLINK("https://docs.wto.org/imrd/directdoc.asp?DDFDocuments/v/G/SPS/NBDI21A1.DOCX", "https://docs.wto.org/imrd/directdoc.asp?DDFDocuments/v/G/SPS/NBDI21A1.DOCX")</f>
      </c>
    </row>
    <row r="493">
      <c r="A493" s="6" t="s">
        <v>17</v>
      </c>
      <c r="B493" s="7">
        <v>45622</v>
      </c>
      <c r="C493" s="9">
        <f>HYPERLINK("https://eping.wto.org/en/Search?viewData= G/TBT/N/KOR/1236/Add.1"," G/TBT/N/KOR/1236/Add.1")</f>
      </c>
      <c r="D493" s="8" t="s">
        <v>2147</v>
      </c>
      <c r="E493" s="8" t="s">
        <v>22</v>
      </c>
      <c r="F493" s="8" t="s">
        <v>2148</v>
      </c>
      <c r="G493" s="8" t="s">
        <v>22</v>
      </c>
      <c r="H493" s="8" t="s">
        <v>2149</v>
      </c>
      <c r="I493" s="8" t="s">
        <v>619</v>
      </c>
      <c r="J493" s="8" t="s">
        <v>22</v>
      </c>
      <c r="K493" s="6"/>
      <c r="L493" s="7" t="s">
        <v>22</v>
      </c>
      <c r="M493" s="6" t="s">
        <v>40</v>
      </c>
      <c r="N493" s="8" t="s">
        <v>2150</v>
      </c>
      <c r="O493" s="6">
        <f>HYPERLINK("https://docs.wto.org/imrd/directdoc.asp?DDFDocuments/t/G/TBTN24/KOR1236A1.DOCX", "https://docs.wto.org/imrd/directdoc.asp?DDFDocuments/t/G/TBTN24/KOR1236A1.DOCX")</f>
      </c>
      <c r="P493" s="6">
        <f>HYPERLINK("https://docs.wto.org/imrd/directdoc.asp?DDFDocuments/u/G/TBTN24/KOR1236A1.DOCX", "https://docs.wto.org/imrd/directdoc.asp?DDFDocuments/u/G/TBTN24/KOR1236A1.DOCX")</f>
      </c>
      <c r="Q493" s="6">
        <f>HYPERLINK("https://docs.wto.org/imrd/directdoc.asp?DDFDocuments/v/G/TBTN24/KOR1236A1.DOCX", "https://docs.wto.org/imrd/directdoc.asp?DDFDocuments/v/G/TBTN24/KOR1236A1.DOCX")</f>
      </c>
    </row>
    <row r="494">
      <c r="A494" s="6" t="s">
        <v>49</v>
      </c>
      <c r="B494" s="7">
        <v>45622</v>
      </c>
      <c r="C494" s="9">
        <f>HYPERLINK("https://eping.wto.org/en/Search?viewData= G/SPS/N/BDI/33/Add.2, G/SPS/N/KEN/189/Add.2, G/SPS/N/RWA/26/Add.2, G/SPS/N/TZA/227/Add.2, G/SPS/N/UGA/229/Add.2"," G/SPS/N/BDI/33/Add.2, G/SPS/N/KEN/189/Add.2, G/SPS/N/RWA/26/Add.2, G/SPS/N/TZA/227/Add.2, G/SPS/N/UGA/229/Add.2")</f>
      </c>
      <c r="D494" s="8" t="s">
        <v>2079</v>
      </c>
      <c r="E494" s="8" t="s">
        <v>2080</v>
      </c>
      <c r="F494" s="8" t="s">
        <v>2081</v>
      </c>
      <c r="G494" s="8" t="s">
        <v>2082</v>
      </c>
      <c r="H494" s="8" t="s">
        <v>79</v>
      </c>
      <c r="I494" s="8" t="s">
        <v>120</v>
      </c>
      <c r="J494" s="8" t="s">
        <v>214</v>
      </c>
      <c r="K494" s="6"/>
      <c r="L494" s="7" t="s">
        <v>22</v>
      </c>
      <c r="M494" s="6" t="s">
        <v>40</v>
      </c>
      <c r="N494" s="8" t="s">
        <v>2058</v>
      </c>
      <c r="O494" s="6">
        <f>HYPERLINK("https://docs.wto.org/imrd/directdoc.asp?DDFDocuments/t/G/SPS/NBDI33A2.DOCX", "https://docs.wto.org/imrd/directdoc.asp?DDFDocuments/t/G/SPS/NBDI33A2.DOCX")</f>
      </c>
      <c r="P494" s="6">
        <f>HYPERLINK("https://docs.wto.org/imrd/directdoc.asp?DDFDocuments/u/G/SPS/NBDI33A2.DOCX", "https://docs.wto.org/imrd/directdoc.asp?DDFDocuments/u/G/SPS/NBDI33A2.DOCX")</f>
      </c>
      <c r="Q494" s="6">
        <f>HYPERLINK("https://docs.wto.org/imrd/directdoc.asp?DDFDocuments/v/G/SPS/NBDI33A2.DOCX", "https://docs.wto.org/imrd/directdoc.asp?DDFDocuments/v/G/SPS/NBDI33A2.DOCX")</f>
      </c>
    </row>
    <row r="495">
      <c r="A495" s="6" t="s">
        <v>68</v>
      </c>
      <c r="B495" s="7">
        <v>45622</v>
      </c>
      <c r="C495" s="9">
        <f>HYPERLINK("https://eping.wto.org/en/Search?viewData= G/SPS/N/BDI/10/Add.1, G/SPS/N/KEN/162/Add.1, G/SPS/N/RWA/3/Add.1, G/SPS/N/TZA/194/Add.1, G/SPS/N/UGA/204/Add.1"," G/SPS/N/BDI/10/Add.1, G/SPS/N/KEN/162/Add.1, G/SPS/N/RWA/3/Add.1, G/SPS/N/TZA/194/Add.1, G/SPS/N/UGA/204/Add.1")</f>
      </c>
      <c r="D495" s="8" t="s">
        <v>2087</v>
      </c>
      <c r="E495" s="8" t="s">
        <v>2088</v>
      </c>
      <c r="F495" s="8" t="s">
        <v>2089</v>
      </c>
      <c r="G495" s="8" t="s">
        <v>2090</v>
      </c>
      <c r="H495" s="8" t="s">
        <v>2063</v>
      </c>
      <c r="I495" s="8" t="s">
        <v>120</v>
      </c>
      <c r="J495" s="8" t="s">
        <v>2108</v>
      </c>
      <c r="K495" s="6"/>
      <c r="L495" s="7" t="s">
        <v>22</v>
      </c>
      <c r="M495" s="6" t="s">
        <v>40</v>
      </c>
      <c r="N495" s="8" t="s">
        <v>2058</v>
      </c>
      <c r="O495" s="6">
        <f>HYPERLINK("https://docs.wto.org/imrd/directdoc.asp?DDFDocuments/t/G/SPS/NBDI10A1.DOCX", "https://docs.wto.org/imrd/directdoc.asp?DDFDocuments/t/G/SPS/NBDI10A1.DOCX")</f>
      </c>
      <c r="P495" s="6">
        <f>HYPERLINK("https://docs.wto.org/imrd/directdoc.asp?DDFDocuments/u/G/SPS/NBDI10A1.DOCX", "https://docs.wto.org/imrd/directdoc.asp?DDFDocuments/u/G/SPS/NBDI10A1.DOCX")</f>
      </c>
      <c r="Q495" s="6">
        <f>HYPERLINK("https://docs.wto.org/imrd/directdoc.asp?DDFDocuments/v/G/SPS/NBDI10A1.DOCX", "https://docs.wto.org/imrd/directdoc.asp?DDFDocuments/v/G/SPS/NBDI10A1.DOCX")</f>
      </c>
    </row>
    <row r="496">
      <c r="A496" s="6" t="s">
        <v>68</v>
      </c>
      <c r="B496" s="7">
        <v>45622</v>
      </c>
      <c r="C496" s="9">
        <f>HYPERLINK("https://eping.wto.org/en/Search?viewData= G/SPS/N/BDI/22/Add.2, G/SPS/N/KEN/175/Add.2, G/SPS/N/RWA/15/Add.2, G/SPS/N/TZA/206/Add.2, G/SPS/N/UGA/217/Add.2"," G/SPS/N/BDI/22/Add.2, G/SPS/N/KEN/175/Add.2, G/SPS/N/RWA/15/Add.2, G/SPS/N/TZA/206/Add.2, G/SPS/N/UGA/217/Add.2")</f>
      </c>
      <c r="D496" s="8" t="s">
        <v>2095</v>
      </c>
      <c r="E496" s="8" t="s">
        <v>2096</v>
      </c>
      <c r="F496" s="8" t="s">
        <v>2097</v>
      </c>
      <c r="G496" s="8" t="s">
        <v>2098</v>
      </c>
      <c r="H496" s="8" t="s">
        <v>2099</v>
      </c>
      <c r="I496" s="8" t="s">
        <v>120</v>
      </c>
      <c r="J496" s="8" t="s">
        <v>214</v>
      </c>
      <c r="K496" s="6"/>
      <c r="L496" s="7" t="s">
        <v>22</v>
      </c>
      <c r="M496" s="6" t="s">
        <v>40</v>
      </c>
      <c r="N496" s="8" t="s">
        <v>2058</v>
      </c>
      <c r="O496" s="6">
        <f>HYPERLINK("https://docs.wto.org/imrd/directdoc.asp?DDFDocuments/t/G/SPS/NBDI22A2.DOCX", "https://docs.wto.org/imrd/directdoc.asp?DDFDocuments/t/G/SPS/NBDI22A2.DOCX")</f>
      </c>
      <c r="P496" s="6">
        <f>HYPERLINK("https://docs.wto.org/imrd/directdoc.asp?DDFDocuments/u/G/SPS/NBDI22A2.DOCX", "https://docs.wto.org/imrd/directdoc.asp?DDFDocuments/u/G/SPS/NBDI22A2.DOCX")</f>
      </c>
      <c r="Q496" s="6">
        <f>HYPERLINK("https://docs.wto.org/imrd/directdoc.asp?DDFDocuments/v/G/SPS/NBDI22A2.DOCX", "https://docs.wto.org/imrd/directdoc.asp?DDFDocuments/v/G/SPS/NBDI22A2.DOCX")</f>
      </c>
    </row>
    <row r="497">
      <c r="A497" s="6" t="s">
        <v>26</v>
      </c>
      <c r="B497" s="7">
        <v>45622</v>
      </c>
      <c r="C497" s="9">
        <f>HYPERLINK("https://eping.wto.org/en/Search?viewData= G/SPS/N/BDI/19/Add.1, G/SPS/N/KEN/171/Add.1, G/SPS/N/RWA/12/Add.1, G/SPS/N/TZA/203/Add.1, G/SPS/N/UGA/213/Add.1"," G/SPS/N/BDI/19/Add.1, G/SPS/N/KEN/171/Add.1, G/SPS/N/RWA/12/Add.1, G/SPS/N/TZA/203/Add.1, G/SPS/N/UGA/213/Add.1")</f>
      </c>
      <c r="D497" s="8" t="s">
        <v>2070</v>
      </c>
      <c r="E497" s="8" t="s">
        <v>2071</v>
      </c>
      <c r="F497" s="8" t="s">
        <v>2072</v>
      </c>
      <c r="G497" s="8" t="s">
        <v>21</v>
      </c>
      <c r="H497" s="8" t="s">
        <v>2073</v>
      </c>
      <c r="I497" s="8" t="s">
        <v>518</v>
      </c>
      <c r="J497" s="8" t="s">
        <v>2074</v>
      </c>
      <c r="K497" s="6"/>
      <c r="L497" s="7" t="s">
        <v>22</v>
      </c>
      <c r="M497" s="6" t="s">
        <v>40</v>
      </c>
      <c r="N497" s="8" t="s">
        <v>2058</v>
      </c>
      <c r="O497" s="6">
        <f>HYPERLINK("https://docs.wto.org/imrd/directdoc.asp?DDFDocuments/t/G/SPS/NBDI19A1.DOCX", "https://docs.wto.org/imrd/directdoc.asp?DDFDocuments/t/G/SPS/NBDI19A1.DOCX")</f>
      </c>
      <c r="P497" s="6">
        <f>HYPERLINK("https://docs.wto.org/imrd/directdoc.asp?DDFDocuments/u/G/SPS/NBDI19A1.DOCX", "https://docs.wto.org/imrd/directdoc.asp?DDFDocuments/u/G/SPS/NBDI19A1.DOCX")</f>
      </c>
      <c r="Q497" s="6">
        <f>HYPERLINK("https://docs.wto.org/imrd/directdoc.asp?DDFDocuments/v/G/SPS/NBDI19A1.DOCX", "https://docs.wto.org/imrd/directdoc.asp?DDFDocuments/v/G/SPS/NBDI19A1.DOCX")</f>
      </c>
    </row>
    <row r="498">
      <c r="A498" s="6" t="s">
        <v>49</v>
      </c>
      <c r="B498" s="7">
        <v>45622</v>
      </c>
      <c r="C498" s="9">
        <f>HYPERLINK("https://eping.wto.org/en/Search?viewData= G/SPS/N/BDI/21/Add.1, G/SPS/N/KEN/174/Add.1, G/SPS/N/RWA/14/Add.1, G/SPS/N/TZA/205/Add.1, G/SPS/N/UGA/215/Add.1"," G/SPS/N/BDI/21/Add.1, G/SPS/N/KEN/174/Add.1, G/SPS/N/RWA/14/Add.1, G/SPS/N/TZA/205/Add.1, G/SPS/N/UGA/215/Add.1")</f>
      </c>
      <c r="D498" s="8" t="s">
        <v>2141</v>
      </c>
      <c r="E498" s="8" t="s">
        <v>2142</v>
      </c>
      <c r="F498" s="8" t="s">
        <v>2143</v>
      </c>
      <c r="G498" s="8" t="s">
        <v>2144</v>
      </c>
      <c r="H498" s="8" t="s">
        <v>2073</v>
      </c>
      <c r="I498" s="8" t="s">
        <v>390</v>
      </c>
      <c r="J498" s="8" t="s">
        <v>2146</v>
      </c>
      <c r="K498" s="6"/>
      <c r="L498" s="7" t="s">
        <v>22</v>
      </c>
      <c r="M498" s="6" t="s">
        <v>40</v>
      </c>
      <c r="N498" s="8" t="s">
        <v>2058</v>
      </c>
      <c r="O498" s="6">
        <f>HYPERLINK("https://docs.wto.org/imrd/directdoc.asp?DDFDocuments/t/G/SPS/NBDI21A1.DOCX", "https://docs.wto.org/imrd/directdoc.asp?DDFDocuments/t/G/SPS/NBDI21A1.DOCX")</f>
      </c>
      <c r="P498" s="6">
        <f>HYPERLINK("https://docs.wto.org/imrd/directdoc.asp?DDFDocuments/u/G/SPS/NBDI21A1.DOCX", "https://docs.wto.org/imrd/directdoc.asp?DDFDocuments/u/G/SPS/NBDI21A1.DOCX")</f>
      </c>
      <c r="Q498" s="6">
        <f>HYPERLINK("https://docs.wto.org/imrd/directdoc.asp?DDFDocuments/v/G/SPS/NBDI21A1.DOCX", "https://docs.wto.org/imrd/directdoc.asp?DDFDocuments/v/G/SPS/NBDI21A1.DOCX")</f>
      </c>
    </row>
    <row r="499">
      <c r="A499" s="6" t="s">
        <v>53</v>
      </c>
      <c r="B499" s="7">
        <v>45622</v>
      </c>
      <c r="C499" s="9">
        <f>HYPERLINK("https://eping.wto.org/en/Search?viewData= G/SPS/N/BDI/30/Add.2, G/SPS/N/KEN/186/Add.2, G/SPS/N/RWA/23/Add.2, G/SPS/N/TZA/224/Add.2, G/SPS/N/UGA/226/Add.2"," G/SPS/N/BDI/30/Add.2, G/SPS/N/KEN/186/Add.2, G/SPS/N/RWA/23/Add.2, G/SPS/N/TZA/224/Add.2, G/SPS/N/UGA/226/Add.2")</f>
      </c>
      <c r="D499" s="8" t="s">
        <v>2075</v>
      </c>
      <c r="E499" s="8" t="s">
        <v>2076</v>
      </c>
      <c r="F499" s="8" t="s">
        <v>2077</v>
      </c>
      <c r="G499" s="8" t="s">
        <v>2078</v>
      </c>
      <c r="H499" s="8" t="s">
        <v>79</v>
      </c>
      <c r="I499" s="8" t="s">
        <v>120</v>
      </c>
      <c r="J499" s="8" t="s">
        <v>214</v>
      </c>
      <c r="K499" s="6"/>
      <c r="L499" s="7" t="s">
        <v>22</v>
      </c>
      <c r="M499" s="6" t="s">
        <v>40</v>
      </c>
      <c r="N499" s="8" t="s">
        <v>2058</v>
      </c>
      <c r="O499" s="6">
        <f>HYPERLINK("https://docs.wto.org/imrd/directdoc.asp?DDFDocuments/t/G/SPS/NBDI30A2.DOCX", "https://docs.wto.org/imrd/directdoc.asp?DDFDocuments/t/G/SPS/NBDI30A2.DOCX")</f>
      </c>
      <c r="P499" s="6">
        <f>HYPERLINK("https://docs.wto.org/imrd/directdoc.asp?DDFDocuments/u/G/SPS/NBDI30A2.DOCX", "https://docs.wto.org/imrd/directdoc.asp?DDFDocuments/u/G/SPS/NBDI30A2.DOCX")</f>
      </c>
      <c r="Q499" s="6">
        <f>HYPERLINK("https://docs.wto.org/imrd/directdoc.asp?DDFDocuments/v/G/SPS/NBDI30A2.DOCX", "https://docs.wto.org/imrd/directdoc.asp?DDFDocuments/v/G/SPS/NBDI30A2.DOCX")</f>
      </c>
    </row>
    <row r="500">
      <c r="A500" s="6" t="s">
        <v>400</v>
      </c>
      <c r="B500" s="7">
        <v>45622</v>
      </c>
      <c r="C500" s="9">
        <f>HYPERLINK("https://eping.wto.org/en/Search?viewData= G/TBT/N/USA/1085/Rev.1"," G/TBT/N/USA/1085/Rev.1")</f>
      </c>
      <c r="D500" s="8" t="s">
        <v>2151</v>
      </c>
      <c r="E500" s="8" t="s">
        <v>2152</v>
      </c>
      <c r="F500" s="8" t="s">
        <v>2153</v>
      </c>
      <c r="G500" s="8" t="s">
        <v>2154</v>
      </c>
      <c r="H500" s="8" t="s">
        <v>2155</v>
      </c>
      <c r="I500" s="8" t="s">
        <v>405</v>
      </c>
      <c r="J500" s="8" t="s">
        <v>22</v>
      </c>
      <c r="K500" s="6"/>
      <c r="L500" s="7">
        <v>45652</v>
      </c>
      <c r="M500" s="6" t="s">
        <v>1170</v>
      </c>
      <c r="N500" s="8" t="s">
        <v>2156</v>
      </c>
      <c r="O500" s="6">
        <f>HYPERLINK("https://docs.wto.org/imrd/directdoc.asp?DDFDocuments/t/G/TBTN16/USA1085R1.DOCX", "https://docs.wto.org/imrd/directdoc.asp?DDFDocuments/t/G/TBTN16/USA1085R1.DOCX")</f>
      </c>
      <c r="P500" s="6">
        <f>HYPERLINK("https://docs.wto.org/imrd/directdoc.asp?DDFDocuments/u/G/TBTN16/USA1085R1.DOCX", "https://docs.wto.org/imrd/directdoc.asp?DDFDocuments/u/G/TBTN16/USA1085R1.DOCX")</f>
      </c>
      <c r="Q500" s="6">
        <f>HYPERLINK("https://docs.wto.org/imrd/directdoc.asp?DDFDocuments/v/G/TBTN16/USA1085R1.DOCX", "https://docs.wto.org/imrd/directdoc.asp?DDFDocuments/v/G/TBTN16/USA1085R1.DOCX")</f>
      </c>
    </row>
    <row r="501">
      <c r="A501" s="6" t="s">
        <v>53</v>
      </c>
      <c r="B501" s="7">
        <v>45622</v>
      </c>
      <c r="C501" s="9">
        <f>HYPERLINK("https://eping.wto.org/en/Search?viewData= G/SPS/N/BDI/11/Add.1, G/SPS/N/KEN/163/Add.1, G/SPS/N/RWA/4/Add.1, G/SPS/N/TZA/195/Add.1, G/SPS/N/UGA/205/Add.1"," G/SPS/N/BDI/11/Add.1, G/SPS/N/KEN/163/Add.1, G/SPS/N/RWA/4/Add.1, G/SPS/N/TZA/195/Add.1, G/SPS/N/UGA/205/Add.1")</f>
      </c>
      <c r="D501" s="8" t="s">
        <v>2124</v>
      </c>
      <c r="E501" s="8" t="s">
        <v>2125</v>
      </c>
      <c r="F501" s="8" t="s">
        <v>2126</v>
      </c>
      <c r="G501" s="8" t="s">
        <v>2068</v>
      </c>
      <c r="H501" s="8" t="s">
        <v>2063</v>
      </c>
      <c r="I501" s="8" t="s">
        <v>120</v>
      </c>
      <c r="J501" s="8" t="s">
        <v>214</v>
      </c>
      <c r="K501" s="6"/>
      <c r="L501" s="7" t="s">
        <v>22</v>
      </c>
      <c r="M501" s="6" t="s">
        <v>40</v>
      </c>
      <c r="N501" s="8" t="s">
        <v>2058</v>
      </c>
      <c r="O501" s="6">
        <f>HYPERLINK("https://docs.wto.org/imrd/directdoc.asp?DDFDocuments/t/G/SPS/NBDI11A1.DOCX", "https://docs.wto.org/imrd/directdoc.asp?DDFDocuments/t/G/SPS/NBDI11A1.DOCX")</f>
      </c>
      <c r="P501" s="6">
        <f>HYPERLINK("https://docs.wto.org/imrd/directdoc.asp?DDFDocuments/u/G/SPS/NBDI11A1.DOCX", "https://docs.wto.org/imrd/directdoc.asp?DDFDocuments/u/G/SPS/NBDI11A1.DOCX")</f>
      </c>
      <c r="Q501" s="6">
        <f>HYPERLINK("https://docs.wto.org/imrd/directdoc.asp?DDFDocuments/v/G/SPS/NBDI11A1.DOCX", "https://docs.wto.org/imrd/directdoc.asp?DDFDocuments/v/G/SPS/NBDI11A1.DOCX")</f>
      </c>
    </row>
    <row r="502">
      <c r="A502" s="6" t="s">
        <v>26</v>
      </c>
      <c r="B502" s="7">
        <v>45622</v>
      </c>
      <c r="C502" s="9">
        <f>HYPERLINK("https://eping.wto.org/en/Search?viewData= G/SPS/N/BDI/11/Add.1, G/SPS/N/KEN/163/Add.1, G/SPS/N/RWA/4/Add.1, G/SPS/N/TZA/195/Add.1, G/SPS/N/UGA/205/Add.1"," G/SPS/N/BDI/11/Add.1, G/SPS/N/KEN/163/Add.1, G/SPS/N/RWA/4/Add.1, G/SPS/N/TZA/195/Add.1, G/SPS/N/UGA/205/Add.1")</f>
      </c>
      <c r="D502" s="8" t="s">
        <v>2124</v>
      </c>
      <c r="E502" s="8" t="s">
        <v>2125</v>
      </c>
      <c r="F502" s="8" t="s">
        <v>2126</v>
      </c>
      <c r="G502" s="8" t="s">
        <v>2068</v>
      </c>
      <c r="H502" s="8" t="s">
        <v>2063</v>
      </c>
      <c r="I502" s="8" t="s">
        <v>120</v>
      </c>
      <c r="J502" s="8" t="s">
        <v>214</v>
      </c>
      <c r="K502" s="6"/>
      <c r="L502" s="7" t="s">
        <v>22</v>
      </c>
      <c r="M502" s="6" t="s">
        <v>40</v>
      </c>
      <c r="N502" s="8" t="s">
        <v>2058</v>
      </c>
      <c r="O502" s="6">
        <f>HYPERLINK("https://docs.wto.org/imrd/directdoc.asp?DDFDocuments/t/G/SPS/NBDI11A1.DOCX", "https://docs.wto.org/imrd/directdoc.asp?DDFDocuments/t/G/SPS/NBDI11A1.DOCX")</f>
      </c>
      <c r="P502" s="6">
        <f>HYPERLINK("https://docs.wto.org/imrd/directdoc.asp?DDFDocuments/u/G/SPS/NBDI11A1.DOCX", "https://docs.wto.org/imrd/directdoc.asp?DDFDocuments/u/G/SPS/NBDI11A1.DOCX")</f>
      </c>
      <c r="Q502" s="6">
        <f>HYPERLINK("https://docs.wto.org/imrd/directdoc.asp?DDFDocuments/v/G/SPS/NBDI11A1.DOCX", "https://docs.wto.org/imrd/directdoc.asp?DDFDocuments/v/G/SPS/NBDI11A1.DOCX")</f>
      </c>
    </row>
    <row r="503">
      <c r="A503" s="6" t="s">
        <v>49</v>
      </c>
      <c r="B503" s="7">
        <v>45622</v>
      </c>
      <c r="C503" s="9">
        <f>HYPERLINK("https://eping.wto.org/en/Search?viewData= G/SPS/N/BDI/11/Add.1, G/SPS/N/KEN/163/Add.1, G/SPS/N/RWA/4/Add.1, G/SPS/N/TZA/195/Add.1, G/SPS/N/UGA/205/Add.1"," G/SPS/N/BDI/11/Add.1, G/SPS/N/KEN/163/Add.1, G/SPS/N/RWA/4/Add.1, G/SPS/N/TZA/195/Add.1, G/SPS/N/UGA/205/Add.1")</f>
      </c>
      <c r="D503" s="8" t="s">
        <v>2124</v>
      </c>
      <c r="E503" s="8" t="s">
        <v>2125</v>
      </c>
      <c r="F503" s="8" t="s">
        <v>2126</v>
      </c>
      <c r="G503" s="8" t="s">
        <v>2068</v>
      </c>
      <c r="H503" s="8" t="s">
        <v>2063</v>
      </c>
      <c r="I503" s="8" t="s">
        <v>120</v>
      </c>
      <c r="J503" s="8" t="s">
        <v>214</v>
      </c>
      <c r="K503" s="6"/>
      <c r="L503" s="7" t="s">
        <v>22</v>
      </c>
      <c r="M503" s="6" t="s">
        <v>40</v>
      </c>
      <c r="N503" s="8" t="s">
        <v>2058</v>
      </c>
      <c r="O503" s="6">
        <f>HYPERLINK("https://docs.wto.org/imrd/directdoc.asp?DDFDocuments/t/G/SPS/NBDI11A1.DOCX", "https://docs.wto.org/imrd/directdoc.asp?DDFDocuments/t/G/SPS/NBDI11A1.DOCX")</f>
      </c>
      <c r="P503" s="6">
        <f>HYPERLINK("https://docs.wto.org/imrd/directdoc.asp?DDFDocuments/u/G/SPS/NBDI11A1.DOCX", "https://docs.wto.org/imrd/directdoc.asp?DDFDocuments/u/G/SPS/NBDI11A1.DOCX")</f>
      </c>
      <c r="Q503" s="6">
        <f>HYPERLINK("https://docs.wto.org/imrd/directdoc.asp?DDFDocuments/v/G/SPS/NBDI11A1.DOCX", "https://docs.wto.org/imrd/directdoc.asp?DDFDocuments/v/G/SPS/NBDI11A1.DOCX")</f>
      </c>
    </row>
    <row r="504">
      <c r="A504" s="6" t="s">
        <v>60</v>
      </c>
      <c r="B504" s="7">
        <v>45622</v>
      </c>
      <c r="C504" s="9">
        <f>HYPERLINK("https://eping.wto.org/en/Search?viewData= G/SPS/N/BDI/14/Add.1, G/SPS/N/KEN/166/Add.1, G/SPS/N/RWA/7/Add.1, G/SPS/N/TZA/198/Add.1, G/SPS/N/UGA/208/Add.1"," G/SPS/N/BDI/14/Add.1, G/SPS/N/KEN/166/Add.1, G/SPS/N/RWA/7/Add.1, G/SPS/N/TZA/198/Add.1, G/SPS/N/UGA/208/Add.1")</f>
      </c>
      <c r="D504" s="8" t="s">
        <v>2065</v>
      </c>
      <c r="E504" s="8" t="s">
        <v>2066</v>
      </c>
      <c r="F504" s="8" t="s">
        <v>2067</v>
      </c>
      <c r="G504" s="8" t="s">
        <v>2068</v>
      </c>
      <c r="H504" s="8" t="s">
        <v>2063</v>
      </c>
      <c r="I504" s="8" t="s">
        <v>120</v>
      </c>
      <c r="J504" s="8" t="s">
        <v>2118</v>
      </c>
      <c r="K504" s="6"/>
      <c r="L504" s="7" t="s">
        <v>22</v>
      </c>
      <c r="M504" s="6" t="s">
        <v>40</v>
      </c>
      <c r="N504" s="8" t="s">
        <v>2058</v>
      </c>
      <c r="O504" s="6">
        <f>HYPERLINK("https://docs.wto.org/imrd/directdoc.asp?DDFDocuments/t/G/SPS/NBDI14A1.DOCX", "https://docs.wto.org/imrd/directdoc.asp?DDFDocuments/t/G/SPS/NBDI14A1.DOCX")</f>
      </c>
      <c r="P504" s="6">
        <f>HYPERLINK("https://docs.wto.org/imrd/directdoc.asp?DDFDocuments/u/G/SPS/NBDI14A1.DOCX", "https://docs.wto.org/imrd/directdoc.asp?DDFDocuments/u/G/SPS/NBDI14A1.DOCX")</f>
      </c>
      <c r="Q504" s="6">
        <f>HYPERLINK("https://docs.wto.org/imrd/directdoc.asp?DDFDocuments/v/G/SPS/NBDI14A1.DOCX", "https://docs.wto.org/imrd/directdoc.asp?DDFDocuments/v/G/SPS/NBDI14A1.DOCX")</f>
      </c>
    </row>
    <row r="505">
      <c r="A505" s="6" t="s">
        <v>53</v>
      </c>
      <c r="B505" s="7">
        <v>45622</v>
      </c>
      <c r="C505" s="9">
        <f>HYPERLINK("https://eping.wto.org/en/Search?viewData= G/SPS/N/BDI/32/Add.1, G/SPS/N/KEN/188/Add.1, G/SPS/N/RWA/25/Add.1, G/SPS/N/TZA/226/Add.1, G/SPS/N/UGA/228/Add.1"," G/SPS/N/BDI/32/Add.1, G/SPS/N/KEN/188/Add.1, G/SPS/N/RWA/25/Add.1, G/SPS/N/TZA/226/Add.1, G/SPS/N/UGA/228/Add.1")</f>
      </c>
      <c r="D505" s="8" t="s">
        <v>2109</v>
      </c>
      <c r="E505" s="8" t="s">
        <v>2110</v>
      </c>
      <c r="F505" s="8" t="s">
        <v>2111</v>
      </c>
      <c r="G505" s="8" t="s">
        <v>2112</v>
      </c>
      <c r="H505" s="8" t="s">
        <v>79</v>
      </c>
      <c r="I505" s="8" t="s">
        <v>120</v>
      </c>
      <c r="J505" s="8" t="s">
        <v>214</v>
      </c>
      <c r="K505" s="6"/>
      <c r="L505" s="7" t="s">
        <v>22</v>
      </c>
      <c r="M505" s="6" t="s">
        <v>40</v>
      </c>
      <c r="N505" s="8" t="s">
        <v>2058</v>
      </c>
      <c r="O505" s="6">
        <f>HYPERLINK("https://docs.wto.org/imrd/directdoc.asp?DDFDocuments/t/G/SPS/NBDI32A1.DOCX", "https://docs.wto.org/imrd/directdoc.asp?DDFDocuments/t/G/SPS/NBDI32A1.DOCX")</f>
      </c>
      <c r="P505" s="6">
        <f>HYPERLINK("https://docs.wto.org/imrd/directdoc.asp?DDFDocuments/u/G/SPS/NBDI32A1.DOCX", "https://docs.wto.org/imrd/directdoc.asp?DDFDocuments/u/G/SPS/NBDI32A1.DOCX")</f>
      </c>
      <c r="Q505" s="6">
        <f>HYPERLINK("https://docs.wto.org/imrd/directdoc.asp?DDFDocuments/v/G/SPS/NBDI32A1.DOCX", "https://docs.wto.org/imrd/directdoc.asp?DDFDocuments/v/G/SPS/NBDI32A1.DOCX")</f>
      </c>
    </row>
    <row r="506">
      <c r="A506" s="6" t="s">
        <v>53</v>
      </c>
      <c r="B506" s="7">
        <v>45622</v>
      </c>
      <c r="C506" s="9">
        <f>HYPERLINK("https://eping.wto.org/en/Search?viewData= G/TBT/N/KEN/1716"," G/TBT/N/KEN/1716")</f>
      </c>
      <c r="D506" s="8" t="s">
        <v>2157</v>
      </c>
      <c r="E506" s="8" t="s">
        <v>2158</v>
      </c>
      <c r="F506" s="8" t="s">
        <v>2159</v>
      </c>
      <c r="G506" s="8" t="s">
        <v>2160</v>
      </c>
      <c r="H506" s="8" t="s">
        <v>2161</v>
      </c>
      <c r="I506" s="8" t="s">
        <v>2162</v>
      </c>
      <c r="J506" s="8" t="s">
        <v>22</v>
      </c>
      <c r="K506" s="6"/>
      <c r="L506" s="7">
        <v>45682</v>
      </c>
      <c r="M506" s="6" t="s">
        <v>32</v>
      </c>
      <c r="N506" s="8" t="s">
        <v>2163</v>
      </c>
      <c r="O506" s="6">
        <f>HYPERLINK("https://docs.wto.org/imrd/directdoc.asp?DDFDocuments/t/G/TBTN24/KEN1716.DOCX", "https://docs.wto.org/imrd/directdoc.asp?DDFDocuments/t/G/TBTN24/KEN1716.DOCX")</f>
      </c>
      <c r="P506" s="6">
        <f>HYPERLINK("https://docs.wto.org/imrd/directdoc.asp?DDFDocuments/u/G/TBTN24/KEN1716.DOCX", "https://docs.wto.org/imrd/directdoc.asp?DDFDocuments/u/G/TBTN24/KEN1716.DOCX")</f>
      </c>
      <c r="Q506" s="6">
        <f>HYPERLINK("https://docs.wto.org/imrd/directdoc.asp?DDFDocuments/v/G/TBTN24/KEN1716.DOCX", "https://docs.wto.org/imrd/directdoc.asp?DDFDocuments/v/G/TBTN24/KEN1716.DOCX")</f>
      </c>
    </row>
    <row r="507">
      <c r="A507" s="6" t="s">
        <v>68</v>
      </c>
      <c r="B507" s="7">
        <v>45622</v>
      </c>
      <c r="C507" s="9">
        <f>HYPERLINK("https://eping.wto.org/en/Search?viewData= G/SPS/N/BDI/21/Add.1, G/SPS/N/KEN/174/Add.1, G/SPS/N/RWA/14/Add.1, G/SPS/N/TZA/205/Add.1, G/SPS/N/UGA/215/Add.1"," G/SPS/N/BDI/21/Add.1, G/SPS/N/KEN/174/Add.1, G/SPS/N/RWA/14/Add.1, G/SPS/N/TZA/205/Add.1, G/SPS/N/UGA/215/Add.1")</f>
      </c>
      <c r="D507" s="8" t="s">
        <v>2141</v>
      </c>
      <c r="E507" s="8" t="s">
        <v>2142</v>
      </c>
      <c r="F507" s="8" t="s">
        <v>2143</v>
      </c>
      <c r="G507" s="8" t="s">
        <v>2144</v>
      </c>
      <c r="H507" s="8" t="s">
        <v>2073</v>
      </c>
      <c r="I507" s="8" t="s">
        <v>390</v>
      </c>
      <c r="J507" s="8" t="s">
        <v>2146</v>
      </c>
      <c r="K507" s="6"/>
      <c r="L507" s="7" t="s">
        <v>22</v>
      </c>
      <c r="M507" s="6" t="s">
        <v>40</v>
      </c>
      <c r="N507" s="8" t="s">
        <v>2058</v>
      </c>
      <c r="O507" s="6">
        <f>HYPERLINK("https://docs.wto.org/imrd/directdoc.asp?DDFDocuments/t/G/SPS/NBDI21A1.DOCX", "https://docs.wto.org/imrd/directdoc.asp?DDFDocuments/t/G/SPS/NBDI21A1.DOCX")</f>
      </c>
      <c r="P507" s="6">
        <f>HYPERLINK("https://docs.wto.org/imrd/directdoc.asp?DDFDocuments/u/G/SPS/NBDI21A1.DOCX", "https://docs.wto.org/imrd/directdoc.asp?DDFDocuments/u/G/SPS/NBDI21A1.DOCX")</f>
      </c>
      <c r="Q507" s="6">
        <f>HYPERLINK("https://docs.wto.org/imrd/directdoc.asp?DDFDocuments/v/G/SPS/NBDI21A1.DOCX", "https://docs.wto.org/imrd/directdoc.asp?DDFDocuments/v/G/SPS/NBDI21A1.DOCX")</f>
      </c>
    </row>
    <row r="508">
      <c r="A508" s="6" t="s">
        <v>60</v>
      </c>
      <c r="B508" s="7">
        <v>45622</v>
      </c>
      <c r="C508" s="9">
        <f>HYPERLINK("https://eping.wto.org/en/Search?viewData= G/SPS/N/BDI/34/Add.2, G/SPS/N/KEN/190/Add.2, G/SPS/N/RWA/27/Add.2, G/SPS/N/TZA/228/Add.2, G/SPS/N/UGA/230/Add.2"," G/SPS/N/BDI/34/Add.2, G/SPS/N/KEN/190/Add.2, G/SPS/N/RWA/27/Add.2, G/SPS/N/TZA/228/Add.2, G/SPS/N/UGA/230/Add.2")</f>
      </c>
      <c r="D508" s="8" t="s">
        <v>2054</v>
      </c>
      <c r="E508" s="8" t="s">
        <v>2055</v>
      </c>
      <c r="F508" s="8" t="s">
        <v>2056</v>
      </c>
      <c r="G508" s="8" t="s">
        <v>2057</v>
      </c>
      <c r="H508" s="8" t="s">
        <v>79</v>
      </c>
      <c r="I508" s="8" t="s">
        <v>120</v>
      </c>
      <c r="J508" s="8" t="s">
        <v>2064</v>
      </c>
      <c r="K508" s="6"/>
      <c r="L508" s="7" t="s">
        <v>22</v>
      </c>
      <c r="M508" s="6" t="s">
        <v>40</v>
      </c>
      <c r="N508" s="8" t="s">
        <v>2058</v>
      </c>
      <c r="O508" s="6">
        <f>HYPERLINK("https://docs.wto.org/imrd/directdoc.asp?DDFDocuments/t/G/SPS/NBDI34A2.DOCX", "https://docs.wto.org/imrd/directdoc.asp?DDFDocuments/t/G/SPS/NBDI34A2.DOCX")</f>
      </c>
      <c r="P508" s="6">
        <f>HYPERLINK("https://docs.wto.org/imrd/directdoc.asp?DDFDocuments/u/G/SPS/NBDI34A2.DOCX", "https://docs.wto.org/imrd/directdoc.asp?DDFDocuments/u/G/SPS/NBDI34A2.DOCX")</f>
      </c>
      <c r="Q508" s="6">
        <f>HYPERLINK("https://docs.wto.org/imrd/directdoc.asp?DDFDocuments/v/G/SPS/NBDI34A2.DOCX", "https://docs.wto.org/imrd/directdoc.asp?DDFDocuments/v/G/SPS/NBDI34A2.DOCX")</f>
      </c>
    </row>
    <row r="509">
      <c r="A509" s="6" t="s">
        <v>68</v>
      </c>
      <c r="B509" s="7">
        <v>45622</v>
      </c>
      <c r="C509" s="9">
        <f>HYPERLINK("https://eping.wto.org/en/Search?viewData= G/SPS/N/BDI/23/Add.1, G/SPS/N/KEN/176/Add.1, G/SPS/N/RWA/16/Add.1, G/SPS/N/TZA/207/Add.1, G/SPS/N/UGA/218/Add.1"," G/SPS/N/BDI/23/Add.1, G/SPS/N/KEN/176/Add.1, G/SPS/N/RWA/16/Add.1, G/SPS/N/TZA/207/Add.1, G/SPS/N/UGA/218/Add.1")</f>
      </c>
      <c r="D509" s="8" t="s">
        <v>2103</v>
      </c>
      <c r="E509" s="8" t="s">
        <v>2104</v>
      </c>
      <c r="F509" s="8" t="s">
        <v>2105</v>
      </c>
      <c r="G509" s="8" t="s">
        <v>2106</v>
      </c>
      <c r="H509" s="8" t="s">
        <v>2107</v>
      </c>
      <c r="I509" s="8" t="s">
        <v>120</v>
      </c>
      <c r="J509" s="8" t="s">
        <v>2118</v>
      </c>
      <c r="K509" s="6"/>
      <c r="L509" s="7" t="s">
        <v>22</v>
      </c>
      <c r="M509" s="6" t="s">
        <v>40</v>
      </c>
      <c r="N509" s="8" t="s">
        <v>2058</v>
      </c>
      <c r="O509" s="6">
        <f>HYPERLINK("https://docs.wto.org/imrd/directdoc.asp?DDFDocuments/t/G/SPS/NBDI23A1.DOCX", "https://docs.wto.org/imrd/directdoc.asp?DDFDocuments/t/G/SPS/NBDI23A1.DOCX")</f>
      </c>
      <c r="P509" s="6">
        <f>HYPERLINK("https://docs.wto.org/imrd/directdoc.asp?DDFDocuments/u/G/SPS/NBDI23A1.DOCX", "https://docs.wto.org/imrd/directdoc.asp?DDFDocuments/u/G/SPS/NBDI23A1.DOCX")</f>
      </c>
      <c r="Q509" s="6">
        <f>HYPERLINK("https://docs.wto.org/imrd/directdoc.asp?DDFDocuments/v/G/SPS/NBDI23A1.DOCX", "https://docs.wto.org/imrd/directdoc.asp?DDFDocuments/v/G/SPS/NBDI23A1.DOCX")</f>
      </c>
    </row>
    <row r="510">
      <c r="A510" s="6" t="s">
        <v>49</v>
      </c>
      <c r="B510" s="7">
        <v>45622</v>
      </c>
      <c r="C510" s="9">
        <f>HYPERLINK("https://eping.wto.org/en/Search?viewData= G/SPS/N/BDI/34/Add.2, G/SPS/N/KEN/190/Add.2, G/SPS/N/RWA/27/Add.2, G/SPS/N/TZA/228/Add.2, G/SPS/N/UGA/230/Add.2"," G/SPS/N/BDI/34/Add.2, G/SPS/N/KEN/190/Add.2, G/SPS/N/RWA/27/Add.2, G/SPS/N/TZA/228/Add.2, G/SPS/N/UGA/230/Add.2")</f>
      </c>
      <c r="D510" s="8" t="s">
        <v>2054</v>
      </c>
      <c r="E510" s="8" t="s">
        <v>2055</v>
      </c>
      <c r="F510" s="8" t="s">
        <v>2056</v>
      </c>
      <c r="G510" s="8" t="s">
        <v>2057</v>
      </c>
      <c r="H510" s="8" t="s">
        <v>79</v>
      </c>
      <c r="I510" s="8" t="s">
        <v>120</v>
      </c>
      <c r="J510" s="8" t="s">
        <v>214</v>
      </c>
      <c r="K510" s="6"/>
      <c r="L510" s="7" t="s">
        <v>22</v>
      </c>
      <c r="M510" s="6" t="s">
        <v>40</v>
      </c>
      <c r="N510" s="8" t="s">
        <v>2058</v>
      </c>
      <c r="O510" s="6">
        <f>HYPERLINK("https://docs.wto.org/imrd/directdoc.asp?DDFDocuments/t/G/SPS/NBDI34A2.DOCX", "https://docs.wto.org/imrd/directdoc.asp?DDFDocuments/t/G/SPS/NBDI34A2.DOCX")</f>
      </c>
      <c r="P510" s="6">
        <f>HYPERLINK("https://docs.wto.org/imrd/directdoc.asp?DDFDocuments/u/G/SPS/NBDI34A2.DOCX", "https://docs.wto.org/imrd/directdoc.asp?DDFDocuments/u/G/SPS/NBDI34A2.DOCX")</f>
      </c>
      <c r="Q510" s="6">
        <f>HYPERLINK("https://docs.wto.org/imrd/directdoc.asp?DDFDocuments/v/G/SPS/NBDI34A2.DOCX", "https://docs.wto.org/imrd/directdoc.asp?DDFDocuments/v/G/SPS/NBDI34A2.DOCX")</f>
      </c>
    </row>
    <row r="511">
      <c r="A511" s="6" t="s">
        <v>49</v>
      </c>
      <c r="B511" s="7">
        <v>45622</v>
      </c>
      <c r="C511" s="9">
        <f>HYPERLINK("https://eping.wto.org/en/Search?viewData= G/SPS/N/BDI/10/Add.1, G/SPS/N/KEN/162/Add.1, G/SPS/N/RWA/3/Add.1, G/SPS/N/TZA/194/Add.1, G/SPS/N/UGA/204/Add.1"," G/SPS/N/BDI/10/Add.1, G/SPS/N/KEN/162/Add.1, G/SPS/N/RWA/3/Add.1, G/SPS/N/TZA/194/Add.1, G/SPS/N/UGA/204/Add.1")</f>
      </c>
      <c r="D511" s="8" t="s">
        <v>2087</v>
      </c>
      <c r="E511" s="8" t="s">
        <v>2088</v>
      </c>
      <c r="F511" s="8" t="s">
        <v>2089</v>
      </c>
      <c r="G511" s="8" t="s">
        <v>2090</v>
      </c>
      <c r="H511" s="8" t="s">
        <v>2063</v>
      </c>
      <c r="I511" s="8" t="s">
        <v>120</v>
      </c>
      <c r="J511" s="8" t="s">
        <v>214</v>
      </c>
      <c r="K511" s="6"/>
      <c r="L511" s="7" t="s">
        <v>22</v>
      </c>
      <c r="M511" s="6" t="s">
        <v>40</v>
      </c>
      <c r="N511" s="8" t="s">
        <v>2058</v>
      </c>
      <c r="O511" s="6">
        <f>HYPERLINK("https://docs.wto.org/imrd/directdoc.asp?DDFDocuments/t/G/SPS/NBDI10A1.DOCX", "https://docs.wto.org/imrd/directdoc.asp?DDFDocuments/t/G/SPS/NBDI10A1.DOCX")</f>
      </c>
      <c r="P511" s="6">
        <f>HYPERLINK("https://docs.wto.org/imrd/directdoc.asp?DDFDocuments/u/G/SPS/NBDI10A1.DOCX", "https://docs.wto.org/imrd/directdoc.asp?DDFDocuments/u/G/SPS/NBDI10A1.DOCX")</f>
      </c>
      <c r="Q511" s="6">
        <f>HYPERLINK("https://docs.wto.org/imrd/directdoc.asp?DDFDocuments/v/G/SPS/NBDI10A1.DOCX", "https://docs.wto.org/imrd/directdoc.asp?DDFDocuments/v/G/SPS/NBDI10A1.DOCX")</f>
      </c>
    </row>
    <row r="512">
      <c r="A512" s="6" t="s">
        <v>53</v>
      </c>
      <c r="B512" s="7">
        <v>45622</v>
      </c>
      <c r="C512" s="9">
        <f>HYPERLINK("https://eping.wto.org/en/Search?viewData= G/SPS/N/BDI/33/Add.2, G/SPS/N/KEN/189/Add.2, G/SPS/N/RWA/26/Add.2, G/SPS/N/TZA/227/Add.2, G/SPS/N/UGA/229/Add.2"," G/SPS/N/BDI/33/Add.2, G/SPS/N/KEN/189/Add.2, G/SPS/N/RWA/26/Add.2, G/SPS/N/TZA/227/Add.2, G/SPS/N/UGA/229/Add.2")</f>
      </c>
      <c r="D512" s="8" t="s">
        <v>2079</v>
      </c>
      <c r="E512" s="8" t="s">
        <v>2080</v>
      </c>
      <c r="F512" s="8" t="s">
        <v>2081</v>
      </c>
      <c r="G512" s="8" t="s">
        <v>2082</v>
      </c>
      <c r="H512" s="8" t="s">
        <v>79</v>
      </c>
      <c r="I512" s="8" t="s">
        <v>120</v>
      </c>
      <c r="J512" s="8" t="s">
        <v>214</v>
      </c>
      <c r="K512" s="6"/>
      <c r="L512" s="7" t="s">
        <v>22</v>
      </c>
      <c r="M512" s="6" t="s">
        <v>40</v>
      </c>
      <c r="N512" s="8" t="s">
        <v>2058</v>
      </c>
      <c r="O512" s="6">
        <f>HYPERLINK("https://docs.wto.org/imrd/directdoc.asp?DDFDocuments/t/G/SPS/NBDI33A2.DOCX", "https://docs.wto.org/imrd/directdoc.asp?DDFDocuments/t/G/SPS/NBDI33A2.DOCX")</f>
      </c>
      <c r="P512" s="6">
        <f>HYPERLINK("https://docs.wto.org/imrd/directdoc.asp?DDFDocuments/u/G/SPS/NBDI33A2.DOCX", "https://docs.wto.org/imrd/directdoc.asp?DDFDocuments/u/G/SPS/NBDI33A2.DOCX")</f>
      </c>
      <c r="Q512" s="6">
        <f>HYPERLINK("https://docs.wto.org/imrd/directdoc.asp?DDFDocuments/v/G/SPS/NBDI33A2.DOCX", "https://docs.wto.org/imrd/directdoc.asp?DDFDocuments/v/G/SPS/NBDI33A2.DOCX")</f>
      </c>
    </row>
    <row r="513">
      <c r="A513" s="6" t="s">
        <v>53</v>
      </c>
      <c r="B513" s="7">
        <v>45622</v>
      </c>
      <c r="C513" s="9">
        <f>HYPERLINK("https://eping.wto.org/en/Search?viewData= G/SPS/N/BDI/35/Add.2, G/SPS/N/KEN/191/Add.2, G/SPS/N/RWA/28/Add.2, G/SPS/N/TZA/229/Add.2, G/SPS/N/UGA/231/Add.2"," G/SPS/N/BDI/35/Add.2, G/SPS/N/KEN/191/Add.2, G/SPS/N/RWA/28/Add.2, G/SPS/N/TZA/229/Add.2, G/SPS/N/UGA/231/Add.2")</f>
      </c>
      <c r="D513" s="8" t="s">
        <v>2083</v>
      </c>
      <c r="E513" s="8" t="s">
        <v>2084</v>
      </c>
      <c r="F513" s="8" t="s">
        <v>2085</v>
      </c>
      <c r="G513" s="8" t="s">
        <v>2086</v>
      </c>
      <c r="H513" s="8" t="s">
        <v>79</v>
      </c>
      <c r="I513" s="8" t="s">
        <v>120</v>
      </c>
      <c r="J513" s="8" t="s">
        <v>214</v>
      </c>
      <c r="K513" s="6"/>
      <c r="L513" s="7" t="s">
        <v>22</v>
      </c>
      <c r="M513" s="6" t="s">
        <v>40</v>
      </c>
      <c r="N513" s="8" t="s">
        <v>2058</v>
      </c>
      <c r="O513" s="6">
        <f>HYPERLINK("https://docs.wto.org/imrd/directdoc.asp?DDFDocuments/t/G/SPS/NBDI35A2.DOCX", "https://docs.wto.org/imrd/directdoc.asp?DDFDocuments/t/G/SPS/NBDI35A2.DOCX")</f>
      </c>
      <c r="P513" s="6">
        <f>HYPERLINK("https://docs.wto.org/imrd/directdoc.asp?DDFDocuments/u/G/SPS/NBDI35A2.DOCX", "https://docs.wto.org/imrd/directdoc.asp?DDFDocuments/u/G/SPS/NBDI35A2.DOCX")</f>
      </c>
      <c r="Q513" s="6">
        <f>HYPERLINK("https://docs.wto.org/imrd/directdoc.asp?DDFDocuments/v/G/SPS/NBDI35A2.DOCX", "https://docs.wto.org/imrd/directdoc.asp?DDFDocuments/v/G/SPS/NBDI35A2.DOCX")</f>
      </c>
    </row>
    <row r="514">
      <c r="A514" s="6" t="s">
        <v>60</v>
      </c>
      <c r="B514" s="7">
        <v>45622</v>
      </c>
      <c r="C514" s="9">
        <f>HYPERLINK("https://eping.wto.org/en/Search?viewData= G/SPS/N/BDI/23/Add.1, G/SPS/N/KEN/176/Add.1, G/SPS/N/RWA/16/Add.1, G/SPS/N/TZA/207/Add.1, G/SPS/N/UGA/218/Add.1"," G/SPS/N/BDI/23/Add.1, G/SPS/N/KEN/176/Add.1, G/SPS/N/RWA/16/Add.1, G/SPS/N/TZA/207/Add.1, G/SPS/N/UGA/218/Add.1")</f>
      </c>
      <c r="D514" s="8" t="s">
        <v>2103</v>
      </c>
      <c r="E514" s="8" t="s">
        <v>2104</v>
      </c>
      <c r="F514" s="8" t="s">
        <v>2105</v>
      </c>
      <c r="G514" s="8" t="s">
        <v>2106</v>
      </c>
      <c r="H514" s="8" t="s">
        <v>2107</v>
      </c>
      <c r="I514" s="8" t="s">
        <v>120</v>
      </c>
      <c r="J514" s="8" t="s">
        <v>2118</v>
      </c>
      <c r="K514" s="6"/>
      <c r="L514" s="7" t="s">
        <v>22</v>
      </c>
      <c r="M514" s="6" t="s">
        <v>40</v>
      </c>
      <c r="N514" s="8" t="s">
        <v>2058</v>
      </c>
      <c r="O514" s="6">
        <f>HYPERLINK("https://docs.wto.org/imrd/directdoc.asp?DDFDocuments/t/G/SPS/NBDI23A1.DOCX", "https://docs.wto.org/imrd/directdoc.asp?DDFDocuments/t/G/SPS/NBDI23A1.DOCX")</f>
      </c>
      <c r="P514" s="6">
        <f>HYPERLINK("https://docs.wto.org/imrd/directdoc.asp?DDFDocuments/u/G/SPS/NBDI23A1.DOCX", "https://docs.wto.org/imrd/directdoc.asp?DDFDocuments/u/G/SPS/NBDI23A1.DOCX")</f>
      </c>
      <c r="Q514" s="6">
        <f>HYPERLINK("https://docs.wto.org/imrd/directdoc.asp?DDFDocuments/v/G/SPS/NBDI23A1.DOCX", "https://docs.wto.org/imrd/directdoc.asp?DDFDocuments/v/G/SPS/NBDI23A1.DOCX")</f>
      </c>
    </row>
    <row r="515">
      <c r="A515" s="6" t="s">
        <v>49</v>
      </c>
      <c r="B515" s="7">
        <v>45622</v>
      </c>
      <c r="C515" s="9">
        <f>HYPERLINK("https://eping.wto.org/en/Search?viewData= G/SPS/N/BDI/32/Add.1, G/SPS/N/KEN/188/Add.1, G/SPS/N/RWA/25/Add.1, G/SPS/N/TZA/226/Add.1, G/SPS/N/UGA/228/Add.1"," G/SPS/N/BDI/32/Add.1, G/SPS/N/KEN/188/Add.1, G/SPS/N/RWA/25/Add.1, G/SPS/N/TZA/226/Add.1, G/SPS/N/UGA/228/Add.1")</f>
      </c>
      <c r="D515" s="8" t="s">
        <v>2109</v>
      </c>
      <c r="E515" s="8" t="s">
        <v>2110</v>
      </c>
      <c r="F515" s="8" t="s">
        <v>2111</v>
      </c>
      <c r="G515" s="8" t="s">
        <v>2112</v>
      </c>
      <c r="H515" s="8" t="s">
        <v>79</v>
      </c>
      <c r="I515" s="8" t="s">
        <v>120</v>
      </c>
      <c r="J515" s="8" t="s">
        <v>214</v>
      </c>
      <c r="K515" s="6"/>
      <c r="L515" s="7" t="s">
        <v>22</v>
      </c>
      <c r="M515" s="6" t="s">
        <v>40</v>
      </c>
      <c r="N515" s="8" t="s">
        <v>2058</v>
      </c>
      <c r="O515" s="6">
        <f>HYPERLINK("https://docs.wto.org/imrd/directdoc.asp?DDFDocuments/t/G/SPS/NBDI32A1.DOCX", "https://docs.wto.org/imrd/directdoc.asp?DDFDocuments/t/G/SPS/NBDI32A1.DOCX")</f>
      </c>
      <c r="P515" s="6">
        <f>HYPERLINK("https://docs.wto.org/imrd/directdoc.asp?DDFDocuments/u/G/SPS/NBDI32A1.DOCX", "https://docs.wto.org/imrd/directdoc.asp?DDFDocuments/u/G/SPS/NBDI32A1.DOCX")</f>
      </c>
      <c r="Q515" s="6">
        <f>HYPERLINK("https://docs.wto.org/imrd/directdoc.asp?DDFDocuments/v/G/SPS/NBDI32A1.DOCX", "https://docs.wto.org/imrd/directdoc.asp?DDFDocuments/v/G/SPS/NBDI32A1.DOCX")</f>
      </c>
    </row>
    <row r="516">
      <c r="A516" s="6" t="s">
        <v>26</v>
      </c>
      <c r="B516" s="7">
        <v>45622</v>
      </c>
      <c r="C516" s="9">
        <f>HYPERLINK("https://eping.wto.org/en/Search?viewData= G/SPS/N/BDI/12/Add.1, G/SPS/N/KEN/164/Add.1, G/SPS/N/RWA/5/Add.1, G/SPS/N/TZA/196/Add.1, G/SPS/N/UGA/206/Add.1"," G/SPS/N/BDI/12/Add.1, G/SPS/N/KEN/164/Add.1, G/SPS/N/RWA/5/Add.1, G/SPS/N/TZA/196/Add.1, G/SPS/N/UGA/206/Add.1")</f>
      </c>
      <c r="D516" s="8" t="s">
        <v>2100</v>
      </c>
      <c r="E516" s="8" t="s">
        <v>2101</v>
      </c>
      <c r="F516" s="8" t="s">
        <v>2102</v>
      </c>
      <c r="G516" s="8" t="s">
        <v>2068</v>
      </c>
      <c r="H516" s="8" t="s">
        <v>2063</v>
      </c>
      <c r="I516" s="8" t="s">
        <v>120</v>
      </c>
      <c r="J516" s="8" t="s">
        <v>214</v>
      </c>
      <c r="K516" s="6"/>
      <c r="L516" s="7" t="s">
        <v>22</v>
      </c>
      <c r="M516" s="6" t="s">
        <v>40</v>
      </c>
      <c r="N516" s="8" t="s">
        <v>2058</v>
      </c>
      <c r="O516" s="6">
        <f>HYPERLINK("https://docs.wto.org/imrd/directdoc.asp?DDFDocuments/t/G/SPS/NBDI12A1.DOCX", "https://docs.wto.org/imrd/directdoc.asp?DDFDocuments/t/G/SPS/NBDI12A1.DOCX")</f>
      </c>
      <c r="P516" s="6">
        <f>HYPERLINK("https://docs.wto.org/imrd/directdoc.asp?DDFDocuments/u/G/SPS/NBDI12A1.DOCX", "https://docs.wto.org/imrd/directdoc.asp?DDFDocuments/u/G/SPS/NBDI12A1.DOCX")</f>
      </c>
      <c r="Q516" s="6">
        <f>HYPERLINK("https://docs.wto.org/imrd/directdoc.asp?DDFDocuments/v/G/SPS/NBDI12A1.DOCX", "https://docs.wto.org/imrd/directdoc.asp?DDFDocuments/v/G/SPS/NBDI12A1.DOCX")</f>
      </c>
    </row>
    <row r="517">
      <c r="A517" s="6" t="s">
        <v>2164</v>
      </c>
      <c r="B517" s="7">
        <v>45622</v>
      </c>
      <c r="C517" s="9">
        <f>HYPERLINK("https://eping.wto.org/en/Search?viewData= G/TBT/N/FIN/85/Rev.4"," G/TBT/N/FIN/85/Rev.4")</f>
      </c>
      <c r="D517" s="8" t="s">
        <v>2165</v>
      </c>
      <c r="E517" s="8" t="s">
        <v>2166</v>
      </c>
      <c r="F517" s="8" t="s">
        <v>2167</v>
      </c>
      <c r="G517" s="8" t="s">
        <v>22</v>
      </c>
      <c r="H517" s="8" t="s">
        <v>1630</v>
      </c>
      <c r="I517" s="8" t="s">
        <v>39</v>
      </c>
      <c r="J517" s="8" t="s">
        <v>139</v>
      </c>
      <c r="K517" s="6"/>
      <c r="L517" s="7">
        <v>45682</v>
      </c>
      <c r="M517" s="6" t="s">
        <v>1170</v>
      </c>
      <c r="N517" s="8" t="s">
        <v>2168</v>
      </c>
      <c r="O517" s="6">
        <f>HYPERLINK("https://docs.wto.org/imrd/directdoc.asp?DDFDocuments/t/G/TBTN23/FIN85R4.DOCX", "https://docs.wto.org/imrd/directdoc.asp?DDFDocuments/t/G/TBTN23/FIN85R4.DOCX")</f>
      </c>
      <c r="P517" s="6">
        <f>HYPERLINK("https://docs.wto.org/imrd/directdoc.asp?DDFDocuments/u/G/TBTN23/FIN85R4.DOCX", "https://docs.wto.org/imrd/directdoc.asp?DDFDocuments/u/G/TBTN23/FIN85R4.DOCX")</f>
      </c>
      <c r="Q517" s="6">
        <f>HYPERLINK("https://docs.wto.org/imrd/directdoc.asp?DDFDocuments/v/G/TBTN23/FIN85R4.DOCX", "https://docs.wto.org/imrd/directdoc.asp?DDFDocuments/v/G/TBTN23/FIN85R4.DOCX")</f>
      </c>
    </row>
    <row r="518">
      <c r="A518" s="6" t="s">
        <v>513</v>
      </c>
      <c r="B518" s="7">
        <v>45622</v>
      </c>
      <c r="C518" s="9">
        <f>HYPERLINK("https://eping.wto.org/en/Search?viewData= G/SPS/N/IND/322"," G/SPS/N/IND/322")</f>
      </c>
      <c r="D518" s="8" t="s">
        <v>2169</v>
      </c>
      <c r="E518" s="8" t="s">
        <v>2170</v>
      </c>
      <c r="F518" s="8" t="s">
        <v>2171</v>
      </c>
      <c r="G518" s="8" t="s">
        <v>1307</v>
      </c>
      <c r="H518" s="8" t="s">
        <v>22</v>
      </c>
      <c r="I518" s="8" t="s">
        <v>518</v>
      </c>
      <c r="J518" s="8" t="s">
        <v>391</v>
      </c>
      <c r="K518" s="6" t="s">
        <v>82</v>
      </c>
      <c r="L518" s="7">
        <v>45682</v>
      </c>
      <c r="M518" s="6" t="s">
        <v>32</v>
      </c>
      <c r="N518" s="8" t="s">
        <v>2172</v>
      </c>
      <c r="O518" s="6">
        <f>HYPERLINK("https://docs.wto.org/imrd/directdoc.asp?DDFDocuments/t/G/SPS/NIND322.DOCX", "https://docs.wto.org/imrd/directdoc.asp?DDFDocuments/t/G/SPS/NIND322.DOCX")</f>
      </c>
      <c r="P518" s="6">
        <f>HYPERLINK("https://docs.wto.org/imrd/directdoc.asp?DDFDocuments/u/G/SPS/NIND322.DOCX", "https://docs.wto.org/imrd/directdoc.asp?DDFDocuments/u/G/SPS/NIND322.DOCX")</f>
      </c>
      <c r="Q518" s="6">
        <f>HYPERLINK("https://docs.wto.org/imrd/directdoc.asp?DDFDocuments/v/G/SPS/NIND322.DOCX", "https://docs.wto.org/imrd/directdoc.asp?DDFDocuments/v/G/SPS/NIND322.DOCX")</f>
      </c>
    </row>
    <row r="519">
      <c r="A519" s="6" t="s">
        <v>68</v>
      </c>
      <c r="B519" s="7">
        <v>45622</v>
      </c>
      <c r="C519" s="9">
        <f>HYPERLINK("https://eping.wto.org/en/Search?viewData= G/SPS/N/BDI/30/Add.2, G/SPS/N/KEN/186/Add.2, G/SPS/N/RWA/23/Add.2, G/SPS/N/TZA/224/Add.2, G/SPS/N/UGA/226/Add.2"," G/SPS/N/BDI/30/Add.2, G/SPS/N/KEN/186/Add.2, G/SPS/N/RWA/23/Add.2, G/SPS/N/TZA/224/Add.2, G/SPS/N/UGA/226/Add.2")</f>
      </c>
      <c r="D519" s="8" t="s">
        <v>2075</v>
      </c>
      <c r="E519" s="8" t="s">
        <v>2076</v>
      </c>
      <c r="F519" s="8" t="s">
        <v>2077</v>
      </c>
      <c r="G519" s="8" t="s">
        <v>2078</v>
      </c>
      <c r="H519" s="8" t="s">
        <v>79</v>
      </c>
      <c r="I519" s="8" t="s">
        <v>120</v>
      </c>
      <c r="J519" s="8" t="s">
        <v>214</v>
      </c>
      <c r="K519" s="6"/>
      <c r="L519" s="7" t="s">
        <v>22</v>
      </c>
      <c r="M519" s="6" t="s">
        <v>40</v>
      </c>
      <c r="N519" s="8" t="s">
        <v>2058</v>
      </c>
      <c r="O519" s="6">
        <f>HYPERLINK("https://docs.wto.org/imrd/directdoc.asp?DDFDocuments/t/G/SPS/NBDI30A2.DOCX", "https://docs.wto.org/imrd/directdoc.asp?DDFDocuments/t/G/SPS/NBDI30A2.DOCX")</f>
      </c>
      <c r="P519" s="6">
        <f>HYPERLINK("https://docs.wto.org/imrd/directdoc.asp?DDFDocuments/u/G/SPS/NBDI30A2.DOCX", "https://docs.wto.org/imrd/directdoc.asp?DDFDocuments/u/G/SPS/NBDI30A2.DOCX")</f>
      </c>
      <c r="Q519" s="6">
        <f>HYPERLINK("https://docs.wto.org/imrd/directdoc.asp?DDFDocuments/v/G/SPS/NBDI30A2.DOCX", "https://docs.wto.org/imrd/directdoc.asp?DDFDocuments/v/G/SPS/NBDI30A2.DOCX")</f>
      </c>
    </row>
    <row r="520">
      <c r="A520" s="6" t="s">
        <v>68</v>
      </c>
      <c r="B520" s="7">
        <v>45622</v>
      </c>
      <c r="C520" s="9">
        <f>HYPERLINK("https://eping.wto.org/en/Search?viewData= G/SPS/N/BDI/12/Add.1, G/SPS/N/KEN/164/Add.1, G/SPS/N/RWA/5/Add.1, G/SPS/N/TZA/196/Add.1, G/SPS/N/UGA/206/Add.1"," G/SPS/N/BDI/12/Add.1, G/SPS/N/KEN/164/Add.1, G/SPS/N/RWA/5/Add.1, G/SPS/N/TZA/196/Add.1, G/SPS/N/UGA/206/Add.1")</f>
      </c>
      <c r="D520" s="8" t="s">
        <v>2100</v>
      </c>
      <c r="E520" s="8" t="s">
        <v>2101</v>
      </c>
      <c r="F520" s="8" t="s">
        <v>2102</v>
      </c>
      <c r="G520" s="8" t="s">
        <v>2068</v>
      </c>
      <c r="H520" s="8" t="s">
        <v>2063</v>
      </c>
      <c r="I520" s="8" t="s">
        <v>120</v>
      </c>
      <c r="J520" s="8" t="s">
        <v>214</v>
      </c>
      <c r="K520" s="6"/>
      <c r="L520" s="7" t="s">
        <v>22</v>
      </c>
      <c r="M520" s="6" t="s">
        <v>40</v>
      </c>
      <c r="N520" s="8" t="s">
        <v>2058</v>
      </c>
      <c r="O520" s="6">
        <f>HYPERLINK("https://docs.wto.org/imrd/directdoc.asp?DDFDocuments/t/G/SPS/NBDI12A1.DOCX", "https://docs.wto.org/imrd/directdoc.asp?DDFDocuments/t/G/SPS/NBDI12A1.DOCX")</f>
      </c>
      <c r="P520" s="6">
        <f>HYPERLINK("https://docs.wto.org/imrd/directdoc.asp?DDFDocuments/u/G/SPS/NBDI12A1.DOCX", "https://docs.wto.org/imrd/directdoc.asp?DDFDocuments/u/G/SPS/NBDI12A1.DOCX")</f>
      </c>
      <c r="Q520" s="6">
        <f>HYPERLINK("https://docs.wto.org/imrd/directdoc.asp?DDFDocuments/v/G/SPS/NBDI12A1.DOCX", "https://docs.wto.org/imrd/directdoc.asp?DDFDocuments/v/G/SPS/NBDI12A1.DOCX")</f>
      </c>
    </row>
    <row r="521">
      <c r="A521" s="6" t="s">
        <v>60</v>
      </c>
      <c r="B521" s="7">
        <v>45622</v>
      </c>
      <c r="C521" s="9">
        <f>HYPERLINK("https://eping.wto.org/en/Search?viewData= G/SPS/N/BDI/24/Add.2, G/SPS/N/KEN/177/Add.2, G/SPS/N/RWA/17/Add.2, G/SPS/N/TZA/208/Add.2, G/SPS/N/UGA/219/Add.2"," G/SPS/N/BDI/24/Add.2, G/SPS/N/KEN/177/Add.2, G/SPS/N/RWA/17/Add.2, G/SPS/N/TZA/208/Add.2, G/SPS/N/UGA/219/Add.2")</f>
      </c>
      <c r="D521" s="8" t="s">
        <v>2113</v>
      </c>
      <c r="E521" s="8" t="s">
        <v>2114</v>
      </c>
      <c r="F521" s="8" t="s">
        <v>2115</v>
      </c>
      <c r="G521" s="8" t="s">
        <v>2116</v>
      </c>
      <c r="H521" s="8" t="s">
        <v>2117</v>
      </c>
      <c r="I521" s="8" t="s">
        <v>120</v>
      </c>
      <c r="J521" s="8" t="s">
        <v>2069</v>
      </c>
      <c r="K521" s="6"/>
      <c r="L521" s="7" t="s">
        <v>22</v>
      </c>
      <c r="M521" s="6" t="s">
        <v>40</v>
      </c>
      <c r="N521" s="8" t="s">
        <v>2058</v>
      </c>
      <c r="O521" s="6">
        <f>HYPERLINK("https://docs.wto.org/imrd/directdoc.asp?DDFDocuments/t/G/SPS/NBDI24A2.DOCX", "https://docs.wto.org/imrd/directdoc.asp?DDFDocuments/t/G/SPS/NBDI24A2.DOCX")</f>
      </c>
      <c r="P521" s="6">
        <f>HYPERLINK("https://docs.wto.org/imrd/directdoc.asp?DDFDocuments/u/G/SPS/NBDI24A2.DOCX", "https://docs.wto.org/imrd/directdoc.asp?DDFDocuments/u/G/SPS/NBDI24A2.DOCX")</f>
      </c>
      <c r="Q521" s="6">
        <f>HYPERLINK("https://docs.wto.org/imrd/directdoc.asp?DDFDocuments/v/G/SPS/NBDI24A2.DOCX", "https://docs.wto.org/imrd/directdoc.asp?DDFDocuments/v/G/SPS/NBDI24A2.DOCX")</f>
      </c>
    </row>
    <row r="522">
      <c r="A522" s="6" t="s">
        <v>68</v>
      </c>
      <c r="B522" s="7">
        <v>45622</v>
      </c>
      <c r="C522" s="9">
        <f>HYPERLINK("https://eping.wto.org/en/Search?viewData= G/SPS/N/BDI/19/Add.1, G/SPS/N/KEN/171/Add.1, G/SPS/N/RWA/12/Add.1, G/SPS/N/TZA/203/Add.1, G/SPS/N/UGA/213/Add.1"," G/SPS/N/BDI/19/Add.1, G/SPS/N/KEN/171/Add.1, G/SPS/N/RWA/12/Add.1, G/SPS/N/TZA/203/Add.1, G/SPS/N/UGA/213/Add.1")</f>
      </c>
      <c r="D522" s="8" t="s">
        <v>2070</v>
      </c>
      <c r="E522" s="8" t="s">
        <v>2071</v>
      </c>
      <c r="F522" s="8" t="s">
        <v>2072</v>
      </c>
      <c r="G522" s="8" t="s">
        <v>21</v>
      </c>
      <c r="H522" s="8" t="s">
        <v>2073</v>
      </c>
      <c r="I522" s="8" t="s">
        <v>518</v>
      </c>
      <c r="J522" s="8" t="s">
        <v>2173</v>
      </c>
      <c r="K522" s="6"/>
      <c r="L522" s="7" t="s">
        <v>22</v>
      </c>
      <c r="M522" s="6" t="s">
        <v>40</v>
      </c>
      <c r="N522" s="8" t="s">
        <v>2058</v>
      </c>
      <c r="O522" s="6">
        <f>HYPERLINK("https://docs.wto.org/imrd/directdoc.asp?DDFDocuments/t/G/SPS/NBDI19A1.DOCX", "https://docs.wto.org/imrd/directdoc.asp?DDFDocuments/t/G/SPS/NBDI19A1.DOCX")</f>
      </c>
      <c r="P522" s="6">
        <f>HYPERLINK("https://docs.wto.org/imrd/directdoc.asp?DDFDocuments/u/G/SPS/NBDI19A1.DOCX", "https://docs.wto.org/imrd/directdoc.asp?DDFDocuments/u/G/SPS/NBDI19A1.DOCX")</f>
      </c>
      <c r="Q522" s="6">
        <f>HYPERLINK("https://docs.wto.org/imrd/directdoc.asp?DDFDocuments/v/G/SPS/NBDI19A1.DOCX", "https://docs.wto.org/imrd/directdoc.asp?DDFDocuments/v/G/SPS/NBDI19A1.DOCX")</f>
      </c>
    </row>
    <row r="523">
      <c r="A523" s="6" t="s">
        <v>68</v>
      </c>
      <c r="B523" s="7">
        <v>45622</v>
      </c>
      <c r="C523" s="9">
        <f>HYPERLINK("https://eping.wto.org/en/Search?viewData= G/SPS/N/BDI/14/Add.1, G/SPS/N/KEN/166/Add.1, G/SPS/N/RWA/7/Add.1, G/SPS/N/TZA/198/Add.1, G/SPS/N/UGA/208/Add.1"," G/SPS/N/BDI/14/Add.1, G/SPS/N/KEN/166/Add.1, G/SPS/N/RWA/7/Add.1, G/SPS/N/TZA/198/Add.1, G/SPS/N/UGA/208/Add.1")</f>
      </c>
      <c r="D523" s="8" t="s">
        <v>2065</v>
      </c>
      <c r="E523" s="8" t="s">
        <v>2066</v>
      </c>
      <c r="F523" s="8" t="s">
        <v>2067</v>
      </c>
      <c r="G523" s="8" t="s">
        <v>2068</v>
      </c>
      <c r="H523" s="8" t="s">
        <v>2063</v>
      </c>
      <c r="I523" s="8" t="s">
        <v>120</v>
      </c>
      <c r="J523" s="8" t="s">
        <v>2118</v>
      </c>
      <c r="K523" s="6"/>
      <c r="L523" s="7" t="s">
        <v>22</v>
      </c>
      <c r="M523" s="6" t="s">
        <v>40</v>
      </c>
      <c r="N523" s="8" t="s">
        <v>2058</v>
      </c>
      <c r="O523" s="6">
        <f>HYPERLINK("https://docs.wto.org/imrd/directdoc.asp?DDFDocuments/t/G/SPS/NBDI14A1.DOCX", "https://docs.wto.org/imrd/directdoc.asp?DDFDocuments/t/G/SPS/NBDI14A1.DOCX")</f>
      </c>
      <c r="P523" s="6">
        <f>HYPERLINK("https://docs.wto.org/imrd/directdoc.asp?DDFDocuments/u/G/SPS/NBDI14A1.DOCX", "https://docs.wto.org/imrd/directdoc.asp?DDFDocuments/u/G/SPS/NBDI14A1.DOCX")</f>
      </c>
      <c r="Q523" s="6">
        <f>HYPERLINK("https://docs.wto.org/imrd/directdoc.asp?DDFDocuments/v/G/SPS/NBDI14A1.DOCX", "https://docs.wto.org/imrd/directdoc.asp?DDFDocuments/v/G/SPS/NBDI14A1.DOCX")</f>
      </c>
    </row>
    <row r="524">
      <c r="A524" s="6" t="s">
        <v>60</v>
      </c>
      <c r="B524" s="7">
        <v>45622</v>
      </c>
      <c r="C524" s="9">
        <f>HYPERLINK("https://eping.wto.org/en/Search?viewData= G/SPS/N/BDI/30/Add.2, G/SPS/N/KEN/186/Add.2, G/SPS/N/RWA/23/Add.2, G/SPS/N/TZA/224/Add.2, G/SPS/N/UGA/226/Add.2"," G/SPS/N/BDI/30/Add.2, G/SPS/N/KEN/186/Add.2, G/SPS/N/RWA/23/Add.2, G/SPS/N/TZA/224/Add.2, G/SPS/N/UGA/226/Add.2")</f>
      </c>
      <c r="D524" s="8" t="s">
        <v>2075</v>
      </c>
      <c r="E524" s="8" t="s">
        <v>2076</v>
      </c>
      <c r="F524" s="8" t="s">
        <v>2077</v>
      </c>
      <c r="G524" s="8" t="s">
        <v>2078</v>
      </c>
      <c r="H524" s="8" t="s">
        <v>79</v>
      </c>
      <c r="I524" s="8" t="s">
        <v>120</v>
      </c>
      <c r="J524" s="8" t="s">
        <v>2064</v>
      </c>
      <c r="K524" s="6"/>
      <c r="L524" s="7" t="s">
        <v>22</v>
      </c>
      <c r="M524" s="6" t="s">
        <v>40</v>
      </c>
      <c r="N524" s="8" t="s">
        <v>2058</v>
      </c>
      <c r="O524" s="6">
        <f>HYPERLINK("https://docs.wto.org/imrd/directdoc.asp?DDFDocuments/t/G/SPS/NBDI30A2.DOCX", "https://docs.wto.org/imrd/directdoc.asp?DDFDocuments/t/G/SPS/NBDI30A2.DOCX")</f>
      </c>
      <c r="P524" s="6">
        <f>HYPERLINK("https://docs.wto.org/imrd/directdoc.asp?DDFDocuments/u/G/SPS/NBDI30A2.DOCX", "https://docs.wto.org/imrd/directdoc.asp?DDFDocuments/u/G/SPS/NBDI30A2.DOCX")</f>
      </c>
      <c r="Q524" s="6">
        <f>HYPERLINK("https://docs.wto.org/imrd/directdoc.asp?DDFDocuments/v/G/SPS/NBDI30A2.DOCX", "https://docs.wto.org/imrd/directdoc.asp?DDFDocuments/v/G/SPS/NBDI30A2.DOCX")</f>
      </c>
    </row>
    <row r="525">
      <c r="A525" s="6" t="s">
        <v>26</v>
      </c>
      <c r="B525" s="7">
        <v>45622</v>
      </c>
      <c r="C525" s="9">
        <f>HYPERLINK("https://eping.wto.org/en/Search?viewData= G/SPS/N/BDI/30/Add.2, G/SPS/N/KEN/186/Add.2, G/SPS/N/RWA/23/Add.2, G/SPS/N/TZA/224/Add.2, G/SPS/N/UGA/226/Add.2"," G/SPS/N/BDI/30/Add.2, G/SPS/N/KEN/186/Add.2, G/SPS/N/RWA/23/Add.2, G/SPS/N/TZA/224/Add.2, G/SPS/N/UGA/226/Add.2")</f>
      </c>
      <c r="D525" s="8" t="s">
        <v>2075</v>
      </c>
      <c r="E525" s="8" t="s">
        <v>2076</v>
      </c>
      <c r="F525" s="8" t="s">
        <v>2077</v>
      </c>
      <c r="G525" s="8" t="s">
        <v>2078</v>
      </c>
      <c r="H525" s="8" t="s">
        <v>79</v>
      </c>
      <c r="I525" s="8" t="s">
        <v>120</v>
      </c>
      <c r="J525" s="8" t="s">
        <v>214</v>
      </c>
      <c r="K525" s="6"/>
      <c r="L525" s="7" t="s">
        <v>22</v>
      </c>
      <c r="M525" s="6" t="s">
        <v>40</v>
      </c>
      <c r="N525" s="8" t="s">
        <v>2058</v>
      </c>
      <c r="O525" s="6">
        <f>HYPERLINK("https://docs.wto.org/imrd/directdoc.asp?DDFDocuments/t/G/SPS/NBDI30A2.DOCX", "https://docs.wto.org/imrd/directdoc.asp?DDFDocuments/t/G/SPS/NBDI30A2.DOCX")</f>
      </c>
      <c r="P525" s="6">
        <f>HYPERLINK("https://docs.wto.org/imrd/directdoc.asp?DDFDocuments/u/G/SPS/NBDI30A2.DOCX", "https://docs.wto.org/imrd/directdoc.asp?DDFDocuments/u/G/SPS/NBDI30A2.DOCX")</f>
      </c>
      <c r="Q525" s="6">
        <f>HYPERLINK("https://docs.wto.org/imrd/directdoc.asp?DDFDocuments/v/G/SPS/NBDI30A2.DOCX", "https://docs.wto.org/imrd/directdoc.asp?DDFDocuments/v/G/SPS/NBDI30A2.DOCX")</f>
      </c>
    </row>
    <row r="526">
      <c r="A526" s="6" t="s">
        <v>60</v>
      </c>
      <c r="B526" s="7">
        <v>45622</v>
      </c>
      <c r="C526" s="9">
        <f>HYPERLINK("https://eping.wto.org/en/Search?viewData= G/SPS/N/BDI/13/Add.1, G/SPS/N/KEN/165/Add.1, G/SPS/N/RWA/6/Add.1, G/SPS/N/TZA/197/Add.1, G/SPS/N/UGA/207/Add.1"," G/SPS/N/BDI/13/Add.1, G/SPS/N/KEN/165/Add.1, G/SPS/N/RWA/6/Add.1, G/SPS/N/TZA/197/Add.1, G/SPS/N/UGA/207/Add.1")</f>
      </c>
      <c r="D526" s="8" t="s">
        <v>2132</v>
      </c>
      <c r="E526" s="8" t="s">
        <v>2133</v>
      </c>
      <c r="F526" s="8" t="s">
        <v>2134</v>
      </c>
      <c r="G526" s="8" t="s">
        <v>2135</v>
      </c>
      <c r="H526" s="8" t="s">
        <v>2063</v>
      </c>
      <c r="I526" s="8" t="s">
        <v>120</v>
      </c>
      <c r="J526" s="8" t="s">
        <v>214</v>
      </c>
      <c r="K526" s="6"/>
      <c r="L526" s="7" t="s">
        <v>22</v>
      </c>
      <c r="M526" s="6" t="s">
        <v>40</v>
      </c>
      <c r="N526" s="8" t="s">
        <v>2058</v>
      </c>
      <c r="O526" s="6">
        <f>HYPERLINK("https://docs.wto.org/imrd/directdoc.asp?DDFDocuments/t/G/SPS/NBDI13A1.DOCX", "https://docs.wto.org/imrd/directdoc.asp?DDFDocuments/t/G/SPS/NBDI13A1.DOCX")</f>
      </c>
      <c r="P526" s="6">
        <f>HYPERLINK("https://docs.wto.org/imrd/directdoc.asp?DDFDocuments/u/G/SPS/NBDI13A1.DOCX", "https://docs.wto.org/imrd/directdoc.asp?DDFDocuments/u/G/SPS/NBDI13A1.DOCX")</f>
      </c>
      <c r="Q526" s="6">
        <f>HYPERLINK("https://docs.wto.org/imrd/directdoc.asp?DDFDocuments/v/G/SPS/NBDI13A1.DOCX", "https://docs.wto.org/imrd/directdoc.asp?DDFDocuments/v/G/SPS/NBDI13A1.DOCX")</f>
      </c>
    </row>
    <row r="527">
      <c r="A527" s="6" t="s">
        <v>49</v>
      </c>
      <c r="B527" s="7">
        <v>45622</v>
      </c>
      <c r="C527" s="9">
        <f>HYPERLINK("https://eping.wto.org/en/Search?viewData= G/SPS/N/BDI/13/Add.1, G/SPS/N/KEN/165/Add.1, G/SPS/N/RWA/6/Add.1, G/SPS/N/TZA/197/Add.1, G/SPS/N/UGA/207/Add.1"," G/SPS/N/BDI/13/Add.1, G/SPS/N/KEN/165/Add.1, G/SPS/N/RWA/6/Add.1, G/SPS/N/TZA/197/Add.1, G/SPS/N/UGA/207/Add.1")</f>
      </c>
      <c r="D527" s="8" t="s">
        <v>2132</v>
      </c>
      <c r="E527" s="8" t="s">
        <v>2133</v>
      </c>
      <c r="F527" s="8" t="s">
        <v>2134</v>
      </c>
      <c r="G527" s="8" t="s">
        <v>2135</v>
      </c>
      <c r="H527" s="8" t="s">
        <v>2063</v>
      </c>
      <c r="I527" s="8" t="s">
        <v>120</v>
      </c>
      <c r="J527" s="8" t="s">
        <v>214</v>
      </c>
      <c r="K527" s="6"/>
      <c r="L527" s="7" t="s">
        <v>22</v>
      </c>
      <c r="M527" s="6" t="s">
        <v>40</v>
      </c>
      <c r="N527" s="8" t="s">
        <v>2058</v>
      </c>
      <c r="O527" s="6">
        <f>HYPERLINK("https://docs.wto.org/imrd/directdoc.asp?DDFDocuments/t/G/SPS/NBDI13A1.DOCX", "https://docs.wto.org/imrd/directdoc.asp?DDFDocuments/t/G/SPS/NBDI13A1.DOCX")</f>
      </c>
      <c r="P527" s="6">
        <f>HYPERLINK("https://docs.wto.org/imrd/directdoc.asp?DDFDocuments/u/G/SPS/NBDI13A1.DOCX", "https://docs.wto.org/imrd/directdoc.asp?DDFDocuments/u/G/SPS/NBDI13A1.DOCX")</f>
      </c>
      <c r="Q527" s="6">
        <f>HYPERLINK("https://docs.wto.org/imrd/directdoc.asp?DDFDocuments/v/G/SPS/NBDI13A1.DOCX", "https://docs.wto.org/imrd/directdoc.asp?DDFDocuments/v/G/SPS/NBDI13A1.DOCX")</f>
      </c>
    </row>
    <row r="528">
      <c r="A528" s="6" t="s">
        <v>26</v>
      </c>
      <c r="B528" s="7">
        <v>45622</v>
      </c>
      <c r="C528" s="9">
        <f>HYPERLINK("https://eping.wto.org/en/Search?viewData= G/SPS/N/BDI/24/Add.2, G/SPS/N/KEN/177/Add.2, G/SPS/N/RWA/17/Add.2, G/SPS/N/TZA/208/Add.2, G/SPS/N/UGA/219/Add.2"," G/SPS/N/BDI/24/Add.2, G/SPS/N/KEN/177/Add.2, G/SPS/N/RWA/17/Add.2, G/SPS/N/TZA/208/Add.2, G/SPS/N/UGA/219/Add.2")</f>
      </c>
      <c r="D528" s="8" t="s">
        <v>2113</v>
      </c>
      <c r="E528" s="8" t="s">
        <v>2114</v>
      </c>
      <c r="F528" s="8" t="s">
        <v>2115</v>
      </c>
      <c r="G528" s="8" t="s">
        <v>2116</v>
      </c>
      <c r="H528" s="8" t="s">
        <v>2117</v>
      </c>
      <c r="I528" s="8" t="s">
        <v>120</v>
      </c>
      <c r="J528" s="8" t="s">
        <v>2069</v>
      </c>
      <c r="K528" s="6"/>
      <c r="L528" s="7" t="s">
        <v>22</v>
      </c>
      <c r="M528" s="6" t="s">
        <v>40</v>
      </c>
      <c r="N528" s="8" t="s">
        <v>2058</v>
      </c>
      <c r="O528" s="6">
        <f>HYPERLINK("https://docs.wto.org/imrd/directdoc.asp?DDFDocuments/t/G/SPS/NBDI24A2.DOCX", "https://docs.wto.org/imrd/directdoc.asp?DDFDocuments/t/G/SPS/NBDI24A2.DOCX")</f>
      </c>
      <c r="P528" s="6">
        <f>HYPERLINK("https://docs.wto.org/imrd/directdoc.asp?DDFDocuments/u/G/SPS/NBDI24A2.DOCX", "https://docs.wto.org/imrd/directdoc.asp?DDFDocuments/u/G/SPS/NBDI24A2.DOCX")</f>
      </c>
      <c r="Q528" s="6">
        <f>HYPERLINK("https://docs.wto.org/imrd/directdoc.asp?DDFDocuments/v/G/SPS/NBDI24A2.DOCX", "https://docs.wto.org/imrd/directdoc.asp?DDFDocuments/v/G/SPS/NBDI24A2.DOCX")</f>
      </c>
    </row>
    <row r="529">
      <c r="A529" s="6" t="s">
        <v>26</v>
      </c>
      <c r="B529" s="7">
        <v>45622</v>
      </c>
      <c r="C529" s="9">
        <f>HYPERLINK("https://eping.wto.org/en/Search?viewData= G/SPS/N/BDI/10/Add.1, G/SPS/N/KEN/162/Add.1, G/SPS/N/RWA/3/Add.1, G/SPS/N/TZA/194/Add.1, G/SPS/N/UGA/204/Add.1"," G/SPS/N/BDI/10/Add.1, G/SPS/N/KEN/162/Add.1, G/SPS/N/RWA/3/Add.1, G/SPS/N/TZA/194/Add.1, G/SPS/N/UGA/204/Add.1")</f>
      </c>
      <c r="D529" s="8" t="s">
        <v>2087</v>
      </c>
      <c r="E529" s="8" t="s">
        <v>2088</v>
      </c>
      <c r="F529" s="8" t="s">
        <v>2089</v>
      </c>
      <c r="G529" s="8" t="s">
        <v>2090</v>
      </c>
      <c r="H529" s="8" t="s">
        <v>2063</v>
      </c>
      <c r="I529" s="8" t="s">
        <v>120</v>
      </c>
      <c r="J529" s="8" t="s">
        <v>214</v>
      </c>
      <c r="K529" s="6"/>
      <c r="L529" s="7" t="s">
        <v>22</v>
      </c>
      <c r="M529" s="6" t="s">
        <v>40</v>
      </c>
      <c r="N529" s="8" t="s">
        <v>2058</v>
      </c>
      <c r="O529" s="6">
        <f>HYPERLINK("https://docs.wto.org/imrd/directdoc.asp?DDFDocuments/t/G/SPS/NBDI10A1.DOCX", "https://docs.wto.org/imrd/directdoc.asp?DDFDocuments/t/G/SPS/NBDI10A1.DOCX")</f>
      </c>
      <c r="P529" s="6">
        <f>HYPERLINK("https://docs.wto.org/imrd/directdoc.asp?DDFDocuments/u/G/SPS/NBDI10A1.DOCX", "https://docs.wto.org/imrd/directdoc.asp?DDFDocuments/u/G/SPS/NBDI10A1.DOCX")</f>
      </c>
      <c r="Q529" s="6">
        <f>HYPERLINK("https://docs.wto.org/imrd/directdoc.asp?DDFDocuments/v/G/SPS/NBDI10A1.DOCX", "https://docs.wto.org/imrd/directdoc.asp?DDFDocuments/v/G/SPS/NBDI10A1.DOCX")</f>
      </c>
    </row>
    <row r="530">
      <c r="A530" s="6" t="s">
        <v>513</v>
      </c>
      <c r="B530" s="7">
        <v>45622</v>
      </c>
      <c r="C530" s="9">
        <f>HYPERLINK("https://eping.wto.org/en/Search?viewData= G/TBT/N/IND/354"," G/TBT/N/IND/354")</f>
      </c>
      <c r="D530" s="8" t="s">
        <v>2174</v>
      </c>
      <c r="E530" s="8" t="s">
        <v>2175</v>
      </c>
      <c r="F530" s="8" t="s">
        <v>2176</v>
      </c>
      <c r="G530" s="8" t="s">
        <v>22</v>
      </c>
      <c r="H530" s="8" t="s">
        <v>2177</v>
      </c>
      <c r="I530" s="8" t="s">
        <v>511</v>
      </c>
      <c r="J530" s="8" t="s">
        <v>22</v>
      </c>
      <c r="K530" s="6"/>
      <c r="L530" s="7">
        <v>45682</v>
      </c>
      <c r="M530" s="6" t="s">
        <v>32</v>
      </c>
      <c r="N530" s="8" t="s">
        <v>2178</v>
      </c>
      <c r="O530" s="6">
        <f>HYPERLINK("https://docs.wto.org/imrd/directdoc.asp?DDFDocuments/t/G/TBTN24/IND354.DOCX", "https://docs.wto.org/imrd/directdoc.asp?DDFDocuments/t/G/TBTN24/IND354.DOCX")</f>
      </c>
      <c r="P530" s="6">
        <f>HYPERLINK("https://docs.wto.org/imrd/directdoc.asp?DDFDocuments/u/G/TBTN24/IND354.DOCX", "https://docs.wto.org/imrd/directdoc.asp?DDFDocuments/u/G/TBTN24/IND354.DOCX")</f>
      </c>
      <c r="Q530" s="6">
        <f>HYPERLINK("https://docs.wto.org/imrd/directdoc.asp?DDFDocuments/v/G/TBTN24/IND354.DOCX", "https://docs.wto.org/imrd/directdoc.asp?DDFDocuments/v/G/TBTN24/IND354.DOCX")</f>
      </c>
    </row>
    <row r="531">
      <c r="A531" s="6" t="s">
        <v>847</v>
      </c>
      <c r="B531" s="7">
        <v>45622</v>
      </c>
      <c r="C531" s="9">
        <f>HYPERLINK("https://eping.wto.org/en/Search?viewData= G/SPS/N/UKR/231"," G/SPS/N/UKR/231")</f>
      </c>
      <c r="D531" s="8" t="s">
        <v>2179</v>
      </c>
      <c r="E531" s="8" t="s">
        <v>2180</v>
      </c>
      <c r="F531" s="8" t="s">
        <v>1385</v>
      </c>
      <c r="G531" s="8" t="s">
        <v>22</v>
      </c>
      <c r="H531" s="8" t="s">
        <v>2181</v>
      </c>
      <c r="I531" s="8" t="s">
        <v>175</v>
      </c>
      <c r="J531" s="8" t="s">
        <v>337</v>
      </c>
      <c r="K531" s="6" t="s">
        <v>22</v>
      </c>
      <c r="L531" s="7" t="s">
        <v>22</v>
      </c>
      <c r="M531" s="6" t="s">
        <v>32</v>
      </c>
      <c r="N531" s="8" t="s">
        <v>2182</v>
      </c>
      <c r="O531" s="6">
        <f>HYPERLINK("https://docs.wto.org/imrd/directdoc.asp?DDFDocuments/t/G/SPS/NUKR231.DOCX", "https://docs.wto.org/imrd/directdoc.asp?DDFDocuments/t/G/SPS/NUKR231.DOCX")</f>
      </c>
      <c r="P531" s="6">
        <f>HYPERLINK("https://docs.wto.org/imrd/directdoc.asp?DDFDocuments/u/G/SPS/NUKR231.DOCX", "https://docs.wto.org/imrd/directdoc.asp?DDFDocuments/u/G/SPS/NUKR231.DOCX")</f>
      </c>
      <c r="Q531" s="6">
        <f>HYPERLINK("https://docs.wto.org/imrd/directdoc.asp?DDFDocuments/v/G/SPS/NUKR231.DOCX", "https://docs.wto.org/imrd/directdoc.asp?DDFDocuments/v/G/SPS/NUKR231.DOCX")</f>
      </c>
    </row>
    <row r="532">
      <c r="A532" s="6" t="s">
        <v>26</v>
      </c>
      <c r="B532" s="7">
        <v>45622</v>
      </c>
      <c r="C532" s="9">
        <f>HYPERLINK("https://eping.wto.org/en/Search?viewData= G/SPS/N/BDI/33/Add.2, G/SPS/N/KEN/189/Add.2, G/SPS/N/RWA/26/Add.2, G/SPS/N/TZA/227/Add.2, G/SPS/N/UGA/229/Add.2"," G/SPS/N/BDI/33/Add.2, G/SPS/N/KEN/189/Add.2, G/SPS/N/RWA/26/Add.2, G/SPS/N/TZA/227/Add.2, G/SPS/N/UGA/229/Add.2")</f>
      </c>
      <c r="D532" s="8" t="s">
        <v>2079</v>
      </c>
      <c r="E532" s="8" t="s">
        <v>2080</v>
      </c>
      <c r="F532" s="8" t="s">
        <v>2081</v>
      </c>
      <c r="G532" s="8" t="s">
        <v>2082</v>
      </c>
      <c r="H532" s="8" t="s">
        <v>79</v>
      </c>
      <c r="I532" s="8" t="s">
        <v>120</v>
      </c>
      <c r="J532" s="8" t="s">
        <v>214</v>
      </c>
      <c r="K532" s="6"/>
      <c r="L532" s="7" t="s">
        <v>22</v>
      </c>
      <c r="M532" s="6" t="s">
        <v>40</v>
      </c>
      <c r="N532" s="8" t="s">
        <v>2058</v>
      </c>
      <c r="O532" s="6">
        <f>HYPERLINK("https://docs.wto.org/imrd/directdoc.asp?DDFDocuments/t/G/SPS/NBDI33A2.DOCX", "https://docs.wto.org/imrd/directdoc.asp?DDFDocuments/t/G/SPS/NBDI33A2.DOCX")</f>
      </c>
      <c r="P532" s="6">
        <f>HYPERLINK("https://docs.wto.org/imrd/directdoc.asp?DDFDocuments/u/G/SPS/NBDI33A2.DOCX", "https://docs.wto.org/imrd/directdoc.asp?DDFDocuments/u/G/SPS/NBDI33A2.DOCX")</f>
      </c>
      <c r="Q532" s="6">
        <f>HYPERLINK("https://docs.wto.org/imrd/directdoc.asp?DDFDocuments/v/G/SPS/NBDI33A2.DOCX", "https://docs.wto.org/imrd/directdoc.asp?DDFDocuments/v/G/SPS/NBDI33A2.DOCX")</f>
      </c>
    </row>
    <row r="533">
      <c r="A533" s="6" t="s">
        <v>49</v>
      </c>
      <c r="B533" s="7">
        <v>45622</v>
      </c>
      <c r="C533" s="9">
        <f>HYPERLINK("https://eping.wto.org/en/Search?viewData= G/SPS/N/BDI/22/Add.2, G/SPS/N/KEN/175/Add.2, G/SPS/N/RWA/15/Add.2, G/SPS/N/TZA/206/Add.2, G/SPS/N/UGA/217/Add.2"," G/SPS/N/BDI/22/Add.2, G/SPS/N/KEN/175/Add.2, G/SPS/N/RWA/15/Add.2, G/SPS/N/TZA/206/Add.2, G/SPS/N/UGA/217/Add.2")</f>
      </c>
      <c r="D533" s="8" t="s">
        <v>2095</v>
      </c>
      <c r="E533" s="8" t="s">
        <v>2096</v>
      </c>
      <c r="F533" s="8" t="s">
        <v>2097</v>
      </c>
      <c r="G533" s="8" t="s">
        <v>2098</v>
      </c>
      <c r="H533" s="8" t="s">
        <v>2099</v>
      </c>
      <c r="I533" s="8" t="s">
        <v>120</v>
      </c>
      <c r="J533" s="8" t="s">
        <v>214</v>
      </c>
      <c r="K533" s="6"/>
      <c r="L533" s="7" t="s">
        <v>22</v>
      </c>
      <c r="M533" s="6" t="s">
        <v>40</v>
      </c>
      <c r="N533" s="8" t="s">
        <v>2058</v>
      </c>
      <c r="O533" s="6">
        <f>HYPERLINK("https://docs.wto.org/imrd/directdoc.asp?DDFDocuments/t/G/SPS/NBDI22A2.DOCX", "https://docs.wto.org/imrd/directdoc.asp?DDFDocuments/t/G/SPS/NBDI22A2.DOCX")</f>
      </c>
      <c r="P533" s="6">
        <f>HYPERLINK("https://docs.wto.org/imrd/directdoc.asp?DDFDocuments/u/G/SPS/NBDI22A2.DOCX", "https://docs.wto.org/imrd/directdoc.asp?DDFDocuments/u/G/SPS/NBDI22A2.DOCX")</f>
      </c>
      <c r="Q533" s="6">
        <f>HYPERLINK("https://docs.wto.org/imrd/directdoc.asp?DDFDocuments/v/G/SPS/NBDI22A2.DOCX", "https://docs.wto.org/imrd/directdoc.asp?DDFDocuments/v/G/SPS/NBDI22A2.DOCX")</f>
      </c>
    </row>
    <row r="534">
      <c r="A534" s="6" t="s">
        <v>53</v>
      </c>
      <c r="B534" s="7">
        <v>45622</v>
      </c>
      <c r="C534" s="9">
        <f>HYPERLINK("https://eping.wto.org/en/Search?viewData= G/SPS/N/BDI/12/Add.1, G/SPS/N/KEN/164/Add.1, G/SPS/N/RWA/5/Add.1, G/SPS/N/TZA/196/Add.1, G/SPS/N/UGA/206/Add.1"," G/SPS/N/BDI/12/Add.1, G/SPS/N/KEN/164/Add.1, G/SPS/N/RWA/5/Add.1, G/SPS/N/TZA/196/Add.1, G/SPS/N/UGA/206/Add.1")</f>
      </c>
      <c r="D534" s="8" t="s">
        <v>2100</v>
      </c>
      <c r="E534" s="8" t="s">
        <v>2101</v>
      </c>
      <c r="F534" s="8" t="s">
        <v>2102</v>
      </c>
      <c r="G534" s="8" t="s">
        <v>2068</v>
      </c>
      <c r="H534" s="8" t="s">
        <v>2063</v>
      </c>
      <c r="I534" s="8" t="s">
        <v>120</v>
      </c>
      <c r="J534" s="8" t="s">
        <v>214</v>
      </c>
      <c r="K534" s="6"/>
      <c r="L534" s="7" t="s">
        <v>22</v>
      </c>
      <c r="M534" s="6" t="s">
        <v>40</v>
      </c>
      <c r="N534" s="8" t="s">
        <v>2058</v>
      </c>
      <c r="O534" s="6">
        <f>HYPERLINK("https://docs.wto.org/imrd/directdoc.asp?DDFDocuments/t/G/SPS/NBDI12A1.DOCX", "https://docs.wto.org/imrd/directdoc.asp?DDFDocuments/t/G/SPS/NBDI12A1.DOCX")</f>
      </c>
      <c r="P534" s="6">
        <f>HYPERLINK("https://docs.wto.org/imrd/directdoc.asp?DDFDocuments/u/G/SPS/NBDI12A1.DOCX", "https://docs.wto.org/imrd/directdoc.asp?DDFDocuments/u/G/SPS/NBDI12A1.DOCX")</f>
      </c>
      <c r="Q534" s="6">
        <f>HYPERLINK("https://docs.wto.org/imrd/directdoc.asp?DDFDocuments/v/G/SPS/NBDI12A1.DOCX", "https://docs.wto.org/imrd/directdoc.asp?DDFDocuments/v/G/SPS/NBDI12A1.DOCX")</f>
      </c>
    </row>
    <row r="535">
      <c r="A535" s="6" t="s">
        <v>49</v>
      </c>
      <c r="B535" s="7">
        <v>45622</v>
      </c>
      <c r="C535" s="9">
        <f>HYPERLINK("https://eping.wto.org/en/Search?viewData= G/SPS/N/BDI/12/Add.1, G/SPS/N/KEN/164/Add.1, G/SPS/N/RWA/5/Add.1, G/SPS/N/TZA/196/Add.1, G/SPS/N/UGA/206/Add.1"," G/SPS/N/BDI/12/Add.1, G/SPS/N/KEN/164/Add.1, G/SPS/N/RWA/5/Add.1, G/SPS/N/TZA/196/Add.1, G/SPS/N/UGA/206/Add.1")</f>
      </c>
      <c r="D535" s="8" t="s">
        <v>2100</v>
      </c>
      <c r="E535" s="8" t="s">
        <v>2101</v>
      </c>
      <c r="F535" s="8" t="s">
        <v>2102</v>
      </c>
      <c r="G535" s="8" t="s">
        <v>2068</v>
      </c>
      <c r="H535" s="8" t="s">
        <v>2063</v>
      </c>
      <c r="I535" s="8" t="s">
        <v>120</v>
      </c>
      <c r="J535" s="8" t="s">
        <v>214</v>
      </c>
      <c r="K535" s="6"/>
      <c r="L535" s="7" t="s">
        <v>22</v>
      </c>
      <c r="M535" s="6" t="s">
        <v>40</v>
      </c>
      <c r="N535" s="8" t="s">
        <v>2058</v>
      </c>
      <c r="O535" s="6">
        <f>HYPERLINK("https://docs.wto.org/imrd/directdoc.asp?DDFDocuments/t/G/SPS/NBDI12A1.DOCX", "https://docs.wto.org/imrd/directdoc.asp?DDFDocuments/t/G/SPS/NBDI12A1.DOCX")</f>
      </c>
      <c r="P535" s="6">
        <f>HYPERLINK("https://docs.wto.org/imrd/directdoc.asp?DDFDocuments/u/G/SPS/NBDI12A1.DOCX", "https://docs.wto.org/imrd/directdoc.asp?DDFDocuments/u/G/SPS/NBDI12A1.DOCX")</f>
      </c>
      <c r="Q535" s="6">
        <f>HYPERLINK("https://docs.wto.org/imrd/directdoc.asp?DDFDocuments/v/G/SPS/NBDI12A1.DOCX", "https://docs.wto.org/imrd/directdoc.asp?DDFDocuments/v/G/SPS/NBDI12A1.DOCX")</f>
      </c>
    </row>
    <row r="536">
      <c r="A536" s="6" t="s">
        <v>53</v>
      </c>
      <c r="B536" s="7">
        <v>45622</v>
      </c>
      <c r="C536" s="9">
        <f>HYPERLINK("https://eping.wto.org/en/Search?viewData= G/SPS/N/BDI/14/Add.1, G/SPS/N/KEN/166/Add.1, G/SPS/N/RWA/7/Add.1, G/SPS/N/TZA/198/Add.1, G/SPS/N/UGA/208/Add.1"," G/SPS/N/BDI/14/Add.1, G/SPS/N/KEN/166/Add.1, G/SPS/N/RWA/7/Add.1, G/SPS/N/TZA/198/Add.1, G/SPS/N/UGA/208/Add.1")</f>
      </c>
      <c r="D536" s="8" t="s">
        <v>2065</v>
      </c>
      <c r="E536" s="8" t="s">
        <v>2066</v>
      </c>
      <c r="F536" s="8" t="s">
        <v>2067</v>
      </c>
      <c r="G536" s="8" t="s">
        <v>2068</v>
      </c>
      <c r="H536" s="8" t="s">
        <v>2063</v>
      </c>
      <c r="I536" s="8" t="s">
        <v>120</v>
      </c>
      <c r="J536" s="8" t="s">
        <v>2069</v>
      </c>
      <c r="K536" s="6"/>
      <c r="L536" s="7" t="s">
        <v>22</v>
      </c>
      <c r="M536" s="6" t="s">
        <v>40</v>
      </c>
      <c r="N536" s="8" t="s">
        <v>2058</v>
      </c>
      <c r="O536" s="6">
        <f>HYPERLINK("https://docs.wto.org/imrd/directdoc.asp?DDFDocuments/t/G/SPS/NBDI14A1.DOCX", "https://docs.wto.org/imrd/directdoc.asp?DDFDocuments/t/G/SPS/NBDI14A1.DOCX")</f>
      </c>
      <c r="P536" s="6">
        <f>HYPERLINK("https://docs.wto.org/imrd/directdoc.asp?DDFDocuments/u/G/SPS/NBDI14A1.DOCX", "https://docs.wto.org/imrd/directdoc.asp?DDFDocuments/u/G/SPS/NBDI14A1.DOCX")</f>
      </c>
      <c r="Q536" s="6">
        <f>HYPERLINK("https://docs.wto.org/imrd/directdoc.asp?DDFDocuments/v/G/SPS/NBDI14A1.DOCX", "https://docs.wto.org/imrd/directdoc.asp?DDFDocuments/v/G/SPS/NBDI14A1.DOCX")</f>
      </c>
    </row>
    <row r="537">
      <c r="A537" s="6" t="s">
        <v>17</v>
      </c>
      <c r="B537" s="7">
        <v>45622</v>
      </c>
      <c r="C537" s="9">
        <f>HYPERLINK("https://eping.wto.org/en/Search?viewData= G/SPS/N/KOR/814"," G/SPS/N/KOR/814")</f>
      </c>
      <c r="D537" s="8" t="s">
        <v>2183</v>
      </c>
      <c r="E537" s="8" t="s">
        <v>2184</v>
      </c>
      <c r="F537" s="8" t="s">
        <v>119</v>
      </c>
      <c r="G537" s="8" t="s">
        <v>22</v>
      </c>
      <c r="H537" s="8" t="s">
        <v>22</v>
      </c>
      <c r="I537" s="8" t="s">
        <v>120</v>
      </c>
      <c r="J537" s="8" t="s">
        <v>416</v>
      </c>
      <c r="K537" s="6" t="s">
        <v>22</v>
      </c>
      <c r="L537" s="7">
        <v>45682</v>
      </c>
      <c r="M537" s="6" t="s">
        <v>32</v>
      </c>
      <c r="N537" s="8" t="s">
        <v>2185</v>
      </c>
      <c r="O537" s="6">
        <f>HYPERLINK("https://docs.wto.org/imrd/directdoc.asp?DDFDocuments/t/G/SPS/NKOR814.DOCX", "https://docs.wto.org/imrd/directdoc.asp?DDFDocuments/t/G/SPS/NKOR814.DOCX")</f>
      </c>
      <c r="P537" s="6">
        <f>HYPERLINK("https://docs.wto.org/imrd/directdoc.asp?DDFDocuments/u/G/SPS/NKOR814.DOCX", "https://docs.wto.org/imrd/directdoc.asp?DDFDocuments/u/G/SPS/NKOR814.DOCX")</f>
      </c>
      <c r="Q537" s="6">
        <f>HYPERLINK("https://docs.wto.org/imrd/directdoc.asp?DDFDocuments/v/G/SPS/NKOR814.DOCX", "https://docs.wto.org/imrd/directdoc.asp?DDFDocuments/v/G/SPS/NKOR814.DOCX")</f>
      </c>
    </row>
    <row r="538">
      <c r="A538" s="6" t="s">
        <v>49</v>
      </c>
      <c r="B538" s="7">
        <v>45622</v>
      </c>
      <c r="C538" s="9">
        <f>HYPERLINK("https://eping.wto.org/en/Search?viewData= G/SPS/N/BDI/31/Add.2, G/SPS/N/KEN/187/Add.2, G/SPS/N/RWA/24/Add.2, G/SPS/N/TZA/225/Add.2, G/SPS/N/UGA/227/Add.2"," G/SPS/N/BDI/31/Add.2, G/SPS/N/KEN/187/Add.2, G/SPS/N/RWA/24/Add.2, G/SPS/N/TZA/225/Add.2, G/SPS/N/UGA/227/Add.2")</f>
      </c>
      <c r="D538" s="8" t="s">
        <v>2091</v>
      </c>
      <c r="E538" s="8" t="s">
        <v>2092</v>
      </c>
      <c r="F538" s="8" t="s">
        <v>2093</v>
      </c>
      <c r="G538" s="8" t="s">
        <v>2094</v>
      </c>
      <c r="H538" s="8" t="s">
        <v>79</v>
      </c>
      <c r="I538" s="8" t="s">
        <v>120</v>
      </c>
      <c r="J538" s="8" t="s">
        <v>214</v>
      </c>
      <c r="K538" s="6"/>
      <c r="L538" s="7" t="s">
        <v>22</v>
      </c>
      <c r="M538" s="6" t="s">
        <v>40</v>
      </c>
      <c r="N538" s="8" t="s">
        <v>2058</v>
      </c>
      <c r="O538" s="6">
        <f>HYPERLINK("https://docs.wto.org/imrd/directdoc.asp?DDFDocuments/t/G/SPS/NBDI31A2.DOCX", "https://docs.wto.org/imrd/directdoc.asp?DDFDocuments/t/G/SPS/NBDI31A2.DOCX")</f>
      </c>
      <c r="P538" s="6">
        <f>HYPERLINK("https://docs.wto.org/imrd/directdoc.asp?DDFDocuments/u/G/SPS/NBDI31A2.DOCX", "https://docs.wto.org/imrd/directdoc.asp?DDFDocuments/u/G/SPS/NBDI31A2.DOCX")</f>
      </c>
      <c r="Q538" s="6">
        <f>HYPERLINK("https://docs.wto.org/imrd/directdoc.asp?DDFDocuments/v/G/SPS/NBDI31A2.DOCX", "https://docs.wto.org/imrd/directdoc.asp?DDFDocuments/v/G/SPS/NBDI31A2.DOCX")</f>
      </c>
    </row>
    <row r="539">
      <c r="A539" s="6" t="s">
        <v>53</v>
      </c>
      <c r="B539" s="7">
        <v>45622</v>
      </c>
      <c r="C539" s="9">
        <f>HYPERLINK("https://eping.wto.org/en/Search?viewData= G/SPS/N/BDI/13/Add.1, G/SPS/N/KEN/165/Add.1, G/SPS/N/RWA/6/Add.1, G/SPS/N/TZA/197/Add.1, G/SPS/N/UGA/207/Add.1"," G/SPS/N/BDI/13/Add.1, G/SPS/N/KEN/165/Add.1, G/SPS/N/RWA/6/Add.1, G/SPS/N/TZA/197/Add.1, G/SPS/N/UGA/207/Add.1")</f>
      </c>
      <c r="D539" s="8" t="s">
        <v>2132</v>
      </c>
      <c r="E539" s="8" t="s">
        <v>2133</v>
      </c>
      <c r="F539" s="8" t="s">
        <v>2134</v>
      </c>
      <c r="G539" s="8" t="s">
        <v>2135</v>
      </c>
      <c r="H539" s="8" t="s">
        <v>2063</v>
      </c>
      <c r="I539" s="8" t="s">
        <v>120</v>
      </c>
      <c r="J539" s="8" t="s">
        <v>214</v>
      </c>
      <c r="K539" s="6"/>
      <c r="L539" s="7" t="s">
        <v>22</v>
      </c>
      <c r="M539" s="6" t="s">
        <v>40</v>
      </c>
      <c r="N539" s="8" t="s">
        <v>2058</v>
      </c>
      <c r="O539" s="6">
        <f>HYPERLINK("https://docs.wto.org/imrd/directdoc.asp?DDFDocuments/t/G/SPS/NBDI13A1.DOCX", "https://docs.wto.org/imrd/directdoc.asp?DDFDocuments/t/G/SPS/NBDI13A1.DOCX")</f>
      </c>
      <c r="P539" s="6">
        <f>HYPERLINK("https://docs.wto.org/imrd/directdoc.asp?DDFDocuments/u/G/SPS/NBDI13A1.DOCX", "https://docs.wto.org/imrd/directdoc.asp?DDFDocuments/u/G/SPS/NBDI13A1.DOCX")</f>
      </c>
      <c r="Q539" s="6">
        <f>HYPERLINK("https://docs.wto.org/imrd/directdoc.asp?DDFDocuments/v/G/SPS/NBDI13A1.DOCX", "https://docs.wto.org/imrd/directdoc.asp?DDFDocuments/v/G/SPS/NBDI13A1.DOCX")</f>
      </c>
    </row>
    <row r="540">
      <c r="A540" s="6" t="s">
        <v>26</v>
      </c>
      <c r="B540" s="7">
        <v>45622</v>
      </c>
      <c r="C540" s="9">
        <f>HYPERLINK("https://eping.wto.org/en/Search?viewData= G/SPS/N/BDI/13/Add.1, G/SPS/N/KEN/165/Add.1, G/SPS/N/RWA/6/Add.1, G/SPS/N/TZA/197/Add.1, G/SPS/N/UGA/207/Add.1"," G/SPS/N/BDI/13/Add.1, G/SPS/N/KEN/165/Add.1, G/SPS/N/RWA/6/Add.1, G/SPS/N/TZA/197/Add.1, G/SPS/N/UGA/207/Add.1")</f>
      </c>
      <c r="D540" s="8" t="s">
        <v>2132</v>
      </c>
      <c r="E540" s="8" t="s">
        <v>2133</v>
      </c>
      <c r="F540" s="8" t="s">
        <v>2134</v>
      </c>
      <c r="G540" s="8" t="s">
        <v>2135</v>
      </c>
      <c r="H540" s="8" t="s">
        <v>2063</v>
      </c>
      <c r="I540" s="8" t="s">
        <v>120</v>
      </c>
      <c r="J540" s="8" t="s">
        <v>214</v>
      </c>
      <c r="K540" s="6"/>
      <c r="L540" s="7" t="s">
        <v>22</v>
      </c>
      <c r="M540" s="6" t="s">
        <v>40</v>
      </c>
      <c r="N540" s="8" t="s">
        <v>2058</v>
      </c>
      <c r="O540" s="6">
        <f>HYPERLINK("https://docs.wto.org/imrd/directdoc.asp?DDFDocuments/t/G/SPS/NBDI13A1.DOCX", "https://docs.wto.org/imrd/directdoc.asp?DDFDocuments/t/G/SPS/NBDI13A1.DOCX")</f>
      </c>
      <c r="P540" s="6">
        <f>HYPERLINK("https://docs.wto.org/imrd/directdoc.asp?DDFDocuments/u/G/SPS/NBDI13A1.DOCX", "https://docs.wto.org/imrd/directdoc.asp?DDFDocuments/u/G/SPS/NBDI13A1.DOCX")</f>
      </c>
      <c r="Q540" s="6">
        <f>HYPERLINK("https://docs.wto.org/imrd/directdoc.asp?DDFDocuments/v/G/SPS/NBDI13A1.DOCX", "https://docs.wto.org/imrd/directdoc.asp?DDFDocuments/v/G/SPS/NBDI13A1.DOCX")</f>
      </c>
    </row>
    <row r="541">
      <c r="A541" s="6" t="s">
        <v>360</v>
      </c>
      <c r="B541" s="7">
        <v>45621</v>
      </c>
      <c r="C541" s="9">
        <f>HYPERLINK("https://eping.wto.org/en/Search?viewData= G/SPS/N/CHL/810"," G/SPS/N/CHL/810")</f>
      </c>
      <c r="D541" s="8" t="s">
        <v>2186</v>
      </c>
      <c r="E541" s="8" t="s">
        <v>2187</v>
      </c>
      <c r="F541" s="8" t="s">
        <v>2188</v>
      </c>
      <c r="G541" s="8" t="s">
        <v>532</v>
      </c>
      <c r="H541" s="8" t="s">
        <v>22</v>
      </c>
      <c r="I541" s="8" t="s">
        <v>128</v>
      </c>
      <c r="J541" s="8" t="s">
        <v>1262</v>
      </c>
      <c r="K541" s="6" t="s">
        <v>400</v>
      </c>
      <c r="L541" s="7" t="s">
        <v>22</v>
      </c>
      <c r="M541" s="6" t="s">
        <v>32</v>
      </c>
      <c r="N541" s="8" t="s">
        <v>2189</v>
      </c>
      <c r="O541" s="6">
        <f>HYPERLINK("https://docs.wto.org/imrd/directdoc.asp?DDFDocuments/t/G/SPS/NCHL810.DOCX", "https://docs.wto.org/imrd/directdoc.asp?DDFDocuments/t/G/SPS/NCHL810.DOCX")</f>
      </c>
      <c r="P541" s="6">
        <f>HYPERLINK("https://docs.wto.org/imrd/directdoc.asp?DDFDocuments/u/G/SPS/NCHL810.DOCX", "https://docs.wto.org/imrd/directdoc.asp?DDFDocuments/u/G/SPS/NCHL810.DOCX")</f>
      </c>
      <c r="Q541" s="6">
        <f>HYPERLINK("https://docs.wto.org/imrd/directdoc.asp?DDFDocuments/v/G/SPS/NCHL810.DOCX", "https://docs.wto.org/imrd/directdoc.asp?DDFDocuments/v/G/SPS/NCHL810.DOCX")</f>
      </c>
    </row>
    <row r="542">
      <c r="A542" s="6" t="s">
        <v>68</v>
      </c>
      <c r="B542" s="7">
        <v>45621</v>
      </c>
      <c r="C542" s="9">
        <f>HYPERLINK("https://eping.wto.org/en/Search?viewData= G/SPS/N/BDI/20/Add.2, G/SPS/N/KEN/172/Add.2, G/SPS/N/RWA/13/Add.2, G/SPS/N/TZA/204/Add.2, G/SPS/N/UGA/214/Add.2"," G/SPS/N/BDI/20/Add.2, G/SPS/N/KEN/172/Add.2, G/SPS/N/RWA/13/Add.2, G/SPS/N/TZA/204/Add.2, G/SPS/N/UGA/214/Add.2")</f>
      </c>
      <c r="D542" s="8" t="s">
        <v>2190</v>
      </c>
      <c r="E542" s="8" t="s">
        <v>2191</v>
      </c>
      <c r="F542" s="8" t="s">
        <v>2192</v>
      </c>
      <c r="G542" s="8" t="s">
        <v>2193</v>
      </c>
      <c r="H542" s="8" t="s">
        <v>2073</v>
      </c>
      <c r="I542" s="8" t="s">
        <v>518</v>
      </c>
      <c r="J542" s="8" t="s">
        <v>2173</v>
      </c>
      <c r="K542" s="6"/>
      <c r="L542" s="7" t="s">
        <v>22</v>
      </c>
      <c r="M542" s="6" t="s">
        <v>40</v>
      </c>
      <c r="N542" s="6"/>
      <c r="O542" s="6">
        <f>HYPERLINK("https://docs.wto.org/imrd/directdoc.asp?DDFDocuments/t/G/SPS/NBDI20A2.DOCX", "https://docs.wto.org/imrd/directdoc.asp?DDFDocuments/t/G/SPS/NBDI20A2.DOCX")</f>
      </c>
      <c r="P542" s="6">
        <f>HYPERLINK("https://docs.wto.org/imrd/directdoc.asp?DDFDocuments/u/G/SPS/NBDI20A2.DOCX", "https://docs.wto.org/imrd/directdoc.asp?DDFDocuments/u/G/SPS/NBDI20A2.DOCX")</f>
      </c>
      <c r="Q542" s="6">
        <f>HYPERLINK("https://docs.wto.org/imrd/directdoc.asp?DDFDocuments/v/G/SPS/NBDI20A2.DOCX", "https://docs.wto.org/imrd/directdoc.asp?DDFDocuments/v/G/SPS/NBDI20A2.DOCX")</f>
      </c>
    </row>
    <row r="543">
      <c r="A543" s="6" t="s">
        <v>646</v>
      </c>
      <c r="B543" s="7">
        <v>45621</v>
      </c>
      <c r="C543" s="9">
        <f>HYPERLINK("https://eping.wto.org/en/Search?viewData= G/TBT/N/BOL/12/Add.4, G/TBT/N/COL/234/Add.4, G/TBT/N/ECU/341/Add.4, G/TBT/N/PER/108/Add.4"," G/TBT/N/BOL/12/Add.4, G/TBT/N/COL/234/Add.4, G/TBT/N/ECU/341/Add.4, G/TBT/N/PER/108/Add.4")</f>
      </c>
      <c r="D543" s="8" t="s">
        <v>2194</v>
      </c>
      <c r="E543" s="8" t="s">
        <v>2195</v>
      </c>
      <c r="F543" s="8" t="s">
        <v>2196</v>
      </c>
      <c r="G543" s="8" t="s">
        <v>2197</v>
      </c>
      <c r="H543" s="8" t="s">
        <v>2198</v>
      </c>
      <c r="I543" s="8" t="s">
        <v>1819</v>
      </c>
      <c r="J543" s="8" t="s">
        <v>761</v>
      </c>
      <c r="K543" s="6"/>
      <c r="L543" s="7" t="s">
        <v>22</v>
      </c>
      <c r="M543" s="6" t="s">
        <v>40</v>
      </c>
      <c r="N543" s="8" t="s">
        <v>2199</v>
      </c>
      <c r="O543" s="6">
        <f>HYPERLINK("https://docs.wto.org/imrd/directdoc.asp?DDFDocuments/t/G/TBTN18/BOL12A4.DOCX", "https://docs.wto.org/imrd/directdoc.asp?DDFDocuments/t/G/TBTN18/BOL12A4.DOCX")</f>
      </c>
      <c r="P543" s="6">
        <f>HYPERLINK("https://docs.wto.org/imrd/directdoc.asp?DDFDocuments/u/G/TBTN18/BOL12A4.DOCX", "https://docs.wto.org/imrd/directdoc.asp?DDFDocuments/u/G/TBTN18/BOL12A4.DOCX")</f>
      </c>
      <c r="Q543" s="6">
        <f>HYPERLINK("https://docs.wto.org/imrd/directdoc.asp?DDFDocuments/v/G/TBTN18/BOL12A4.DOCX", "https://docs.wto.org/imrd/directdoc.asp?DDFDocuments/v/G/TBTN18/BOL12A4.DOCX")</f>
      </c>
    </row>
    <row r="544">
      <c r="A544" s="6" t="s">
        <v>60</v>
      </c>
      <c r="B544" s="7">
        <v>45621</v>
      </c>
      <c r="C544" s="9">
        <f>HYPERLINK("https://eping.wto.org/en/Search?viewData= G/SPS/N/BDI/20/Add.2, G/SPS/N/KEN/172/Add.2, G/SPS/N/RWA/13/Add.2, G/SPS/N/TZA/204/Add.2, G/SPS/N/UGA/214/Add.2"," G/SPS/N/BDI/20/Add.2, G/SPS/N/KEN/172/Add.2, G/SPS/N/RWA/13/Add.2, G/SPS/N/TZA/204/Add.2, G/SPS/N/UGA/214/Add.2")</f>
      </c>
      <c r="D544" s="8" t="s">
        <v>2190</v>
      </c>
      <c r="E544" s="8" t="s">
        <v>2191</v>
      </c>
      <c r="F544" s="8" t="s">
        <v>2192</v>
      </c>
      <c r="G544" s="8" t="s">
        <v>2193</v>
      </c>
      <c r="H544" s="8" t="s">
        <v>2073</v>
      </c>
      <c r="I544" s="8" t="s">
        <v>518</v>
      </c>
      <c r="J544" s="8" t="s">
        <v>2200</v>
      </c>
      <c r="K544" s="6"/>
      <c r="L544" s="7" t="s">
        <v>22</v>
      </c>
      <c r="M544" s="6" t="s">
        <v>40</v>
      </c>
      <c r="N544" s="6"/>
      <c r="O544" s="6">
        <f>HYPERLINK("https://docs.wto.org/imrd/directdoc.asp?DDFDocuments/t/G/SPS/NBDI20A2.DOCX", "https://docs.wto.org/imrd/directdoc.asp?DDFDocuments/t/G/SPS/NBDI20A2.DOCX")</f>
      </c>
      <c r="P544" s="6">
        <f>HYPERLINK("https://docs.wto.org/imrd/directdoc.asp?DDFDocuments/u/G/SPS/NBDI20A2.DOCX", "https://docs.wto.org/imrd/directdoc.asp?DDFDocuments/u/G/SPS/NBDI20A2.DOCX")</f>
      </c>
      <c r="Q544" s="6">
        <f>HYPERLINK("https://docs.wto.org/imrd/directdoc.asp?DDFDocuments/v/G/SPS/NBDI20A2.DOCX", "https://docs.wto.org/imrd/directdoc.asp?DDFDocuments/v/G/SPS/NBDI20A2.DOCX")</f>
      </c>
    </row>
    <row r="545">
      <c r="A545" s="6" t="s">
        <v>400</v>
      </c>
      <c r="B545" s="7">
        <v>45621</v>
      </c>
      <c r="C545" s="9">
        <f>HYPERLINK("https://eping.wto.org/en/Search?viewData= G/SPS/N/USA/3490"," G/SPS/N/USA/3490")</f>
      </c>
      <c r="D545" s="8" t="s">
        <v>2201</v>
      </c>
      <c r="E545" s="8" t="s">
        <v>2202</v>
      </c>
      <c r="F545" s="8" t="s">
        <v>2203</v>
      </c>
      <c r="G545" s="8" t="s">
        <v>22</v>
      </c>
      <c r="H545" s="8" t="s">
        <v>22</v>
      </c>
      <c r="I545" s="8" t="s">
        <v>120</v>
      </c>
      <c r="J545" s="8" t="s">
        <v>416</v>
      </c>
      <c r="K545" s="6" t="s">
        <v>22</v>
      </c>
      <c r="L545" s="7">
        <v>45638</v>
      </c>
      <c r="M545" s="6" t="s">
        <v>32</v>
      </c>
      <c r="N545" s="8" t="s">
        <v>2204</v>
      </c>
      <c r="O545" s="6">
        <f>HYPERLINK("https://docs.wto.org/imrd/directdoc.asp?DDFDocuments/t/G/SPS/NUSA3490.DOCX", "https://docs.wto.org/imrd/directdoc.asp?DDFDocuments/t/G/SPS/NUSA3490.DOCX")</f>
      </c>
      <c r="P545" s="6">
        <f>HYPERLINK("https://docs.wto.org/imrd/directdoc.asp?DDFDocuments/u/G/SPS/NUSA3490.DOCX", "https://docs.wto.org/imrd/directdoc.asp?DDFDocuments/u/G/SPS/NUSA3490.DOCX")</f>
      </c>
      <c r="Q545" s="6">
        <f>HYPERLINK("https://docs.wto.org/imrd/directdoc.asp?DDFDocuments/v/G/SPS/NUSA3490.DOCX", "https://docs.wto.org/imrd/directdoc.asp?DDFDocuments/v/G/SPS/NUSA3490.DOCX")</f>
      </c>
    </row>
    <row r="546">
      <c r="A546" s="6" t="s">
        <v>152</v>
      </c>
      <c r="B546" s="7">
        <v>45621</v>
      </c>
      <c r="C546" s="9">
        <f>HYPERLINK("https://eping.wto.org/en/Search?viewData= G/TBT/N/BOL/12/Add.4, G/TBT/N/COL/234/Add.4, G/TBT/N/ECU/341/Add.4, G/TBT/N/PER/108/Add.4"," G/TBT/N/BOL/12/Add.4, G/TBT/N/COL/234/Add.4, G/TBT/N/ECU/341/Add.4, G/TBT/N/PER/108/Add.4")</f>
      </c>
      <c r="D546" s="8" t="s">
        <v>2194</v>
      </c>
      <c r="E546" s="8" t="s">
        <v>2195</v>
      </c>
      <c r="F546" s="8" t="s">
        <v>2196</v>
      </c>
      <c r="G546" s="8" t="s">
        <v>2205</v>
      </c>
      <c r="H546" s="8" t="s">
        <v>2198</v>
      </c>
      <c r="I546" s="8" t="s">
        <v>1819</v>
      </c>
      <c r="J546" s="8" t="s">
        <v>2206</v>
      </c>
      <c r="K546" s="6"/>
      <c r="L546" s="7" t="s">
        <v>22</v>
      </c>
      <c r="M546" s="6" t="s">
        <v>40</v>
      </c>
      <c r="N546" s="8" t="s">
        <v>2199</v>
      </c>
      <c r="O546" s="6">
        <f>HYPERLINK("https://docs.wto.org/imrd/directdoc.asp?DDFDocuments/t/G/TBTN18/BOL12A4.DOCX", "https://docs.wto.org/imrd/directdoc.asp?DDFDocuments/t/G/TBTN18/BOL12A4.DOCX")</f>
      </c>
      <c r="P546" s="6">
        <f>HYPERLINK("https://docs.wto.org/imrd/directdoc.asp?DDFDocuments/u/G/TBTN18/BOL12A4.DOCX", "https://docs.wto.org/imrd/directdoc.asp?DDFDocuments/u/G/TBTN18/BOL12A4.DOCX")</f>
      </c>
      <c r="Q546" s="6">
        <f>HYPERLINK("https://docs.wto.org/imrd/directdoc.asp?DDFDocuments/v/G/TBTN18/BOL12A4.DOCX", "https://docs.wto.org/imrd/directdoc.asp?DDFDocuments/v/G/TBTN18/BOL12A4.DOCX")</f>
      </c>
    </row>
    <row r="547">
      <c r="A547" s="6" t="s">
        <v>53</v>
      </c>
      <c r="B547" s="7">
        <v>45621</v>
      </c>
      <c r="C547" s="9">
        <f>HYPERLINK("https://eping.wto.org/en/Search?viewData= G/SPS/N/KEN/319"," G/SPS/N/KEN/319")</f>
      </c>
      <c r="D547" s="8" t="s">
        <v>2207</v>
      </c>
      <c r="E547" s="8" t="s">
        <v>2208</v>
      </c>
      <c r="F547" s="8" t="s">
        <v>2209</v>
      </c>
      <c r="G547" s="8" t="s">
        <v>2210</v>
      </c>
      <c r="H547" s="8" t="s">
        <v>2211</v>
      </c>
      <c r="I547" s="8" t="s">
        <v>120</v>
      </c>
      <c r="J547" s="8" t="s">
        <v>416</v>
      </c>
      <c r="K547" s="6" t="s">
        <v>22</v>
      </c>
      <c r="L547" s="7">
        <v>45681</v>
      </c>
      <c r="M547" s="6" t="s">
        <v>32</v>
      </c>
      <c r="N547" s="8" t="s">
        <v>2212</v>
      </c>
      <c r="O547" s="6">
        <f>HYPERLINK("https://docs.wto.org/imrd/directdoc.asp?DDFDocuments/t/G/SPS/NKEN319.DOCX", "https://docs.wto.org/imrd/directdoc.asp?DDFDocuments/t/G/SPS/NKEN319.DOCX")</f>
      </c>
      <c r="P547" s="6">
        <f>HYPERLINK("https://docs.wto.org/imrd/directdoc.asp?DDFDocuments/u/G/SPS/NKEN319.DOCX", "https://docs.wto.org/imrd/directdoc.asp?DDFDocuments/u/G/SPS/NKEN319.DOCX")</f>
      </c>
      <c r="Q547" s="6">
        <f>HYPERLINK("https://docs.wto.org/imrd/directdoc.asp?DDFDocuments/v/G/SPS/NKEN319.DOCX", "https://docs.wto.org/imrd/directdoc.asp?DDFDocuments/v/G/SPS/NKEN319.DOCX")</f>
      </c>
    </row>
    <row r="548">
      <c r="A548" s="6" t="s">
        <v>2213</v>
      </c>
      <c r="B548" s="7">
        <v>45621</v>
      </c>
      <c r="C548" s="9">
        <f>HYPERLINK("https://eping.wto.org/en/Search?viewData= G/TBT/N/BOL/26/Add.1, G/TBT/N/COL/267/Add.1, G/TBT/N/ECU/523/Add.1, G/TBT/N/PER/156/Add.1"," G/TBT/N/BOL/26/Add.1, G/TBT/N/COL/267/Add.1, G/TBT/N/ECU/523/Add.1, G/TBT/N/PER/156/Add.1")</f>
      </c>
      <c r="D548" s="8" t="s">
        <v>2214</v>
      </c>
      <c r="E548" s="8" t="s">
        <v>2215</v>
      </c>
      <c r="F548" s="8" t="s">
        <v>2216</v>
      </c>
      <c r="G548" s="8" t="s">
        <v>2217</v>
      </c>
      <c r="H548" s="8" t="s">
        <v>22</v>
      </c>
      <c r="I548" s="8" t="s">
        <v>2218</v>
      </c>
      <c r="J548" s="8" t="s">
        <v>22</v>
      </c>
      <c r="K548" s="6"/>
      <c r="L548" s="7" t="s">
        <v>22</v>
      </c>
      <c r="M548" s="6" t="s">
        <v>40</v>
      </c>
      <c r="N548" s="8" t="s">
        <v>2219</v>
      </c>
      <c r="O548" s="6">
        <f>HYPERLINK("https://docs.wto.org/imrd/directdoc.asp?DDFDocuments/t/G/TBTN24/BOL26A1.DOCX", "https://docs.wto.org/imrd/directdoc.asp?DDFDocuments/t/G/TBTN24/BOL26A1.DOCX")</f>
      </c>
      <c r="P548" s="6">
        <f>HYPERLINK("https://docs.wto.org/imrd/directdoc.asp?DDFDocuments/u/G/TBTN24/BOL26A1.DOCX", "https://docs.wto.org/imrd/directdoc.asp?DDFDocuments/u/G/TBTN24/BOL26A1.DOCX")</f>
      </c>
      <c r="Q548" s="6">
        <f>HYPERLINK("https://docs.wto.org/imrd/directdoc.asp?DDFDocuments/v/G/TBTN24/BOL26A1.DOCX", "https://docs.wto.org/imrd/directdoc.asp?DDFDocuments/v/G/TBTN24/BOL26A1.DOCX")</f>
      </c>
    </row>
    <row r="549">
      <c r="A549" s="6" t="s">
        <v>123</v>
      </c>
      <c r="B549" s="7">
        <v>45621</v>
      </c>
      <c r="C549" s="9">
        <f>HYPERLINK("https://eping.wto.org/en/Search?viewData= G/TBT/N/BOL/26/Add.1, G/TBT/N/COL/267/Add.1, G/TBT/N/ECU/523/Add.1, G/TBT/N/PER/156/Add.1"," G/TBT/N/BOL/26/Add.1, G/TBT/N/COL/267/Add.1, G/TBT/N/ECU/523/Add.1, G/TBT/N/PER/156/Add.1")</f>
      </c>
      <c r="D549" s="8" t="s">
        <v>2214</v>
      </c>
      <c r="E549" s="8" t="s">
        <v>2215</v>
      </c>
      <c r="F549" s="8" t="s">
        <v>2216</v>
      </c>
      <c r="G549" s="8" t="s">
        <v>2217</v>
      </c>
      <c r="H549" s="8" t="s">
        <v>22</v>
      </c>
      <c r="I549" s="8" t="s">
        <v>2218</v>
      </c>
      <c r="J549" s="8" t="s">
        <v>22</v>
      </c>
      <c r="K549" s="6"/>
      <c r="L549" s="7" t="s">
        <v>22</v>
      </c>
      <c r="M549" s="6" t="s">
        <v>40</v>
      </c>
      <c r="N549" s="8" t="s">
        <v>2219</v>
      </c>
      <c r="O549" s="6">
        <f>HYPERLINK("https://docs.wto.org/imrd/directdoc.asp?DDFDocuments/t/G/TBTN24/BOL26A1.DOCX", "https://docs.wto.org/imrd/directdoc.asp?DDFDocuments/t/G/TBTN24/BOL26A1.DOCX")</f>
      </c>
      <c r="P549" s="6">
        <f>HYPERLINK("https://docs.wto.org/imrd/directdoc.asp?DDFDocuments/u/G/TBTN24/BOL26A1.DOCX", "https://docs.wto.org/imrd/directdoc.asp?DDFDocuments/u/G/TBTN24/BOL26A1.DOCX")</f>
      </c>
      <c r="Q549" s="6">
        <f>HYPERLINK("https://docs.wto.org/imrd/directdoc.asp?DDFDocuments/v/G/TBTN24/BOL26A1.DOCX", "https://docs.wto.org/imrd/directdoc.asp?DDFDocuments/v/G/TBTN24/BOL26A1.DOCX")</f>
      </c>
    </row>
    <row r="550">
      <c r="A550" s="6" t="s">
        <v>53</v>
      </c>
      <c r="B550" s="7">
        <v>45621</v>
      </c>
      <c r="C550" s="9">
        <f>HYPERLINK("https://eping.wto.org/en/Search?viewData= G/SPS/N/BDI/20/Add.2, G/SPS/N/KEN/172/Add.2, G/SPS/N/RWA/13/Add.2, G/SPS/N/TZA/204/Add.2, G/SPS/N/UGA/214/Add.2"," G/SPS/N/BDI/20/Add.2, G/SPS/N/KEN/172/Add.2, G/SPS/N/RWA/13/Add.2, G/SPS/N/TZA/204/Add.2, G/SPS/N/UGA/214/Add.2")</f>
      </c>
      <c r="D550" s="8" t="s">
        <v>2190</v>
      </c>
      <c r="E550" s="8" t="s">
        <v>2191</v>
      </c>
      <c r="F550" s="8" t="s">
        <v>2192</v>
      </c>
      <c r="G550" s="8" t="s">
        <v>2193</v>
      </c>
      <c r="H550" s="8" t="s">
        <v>2073</v>
      </c>
      <c r="I550" s="8" t="s">
        <v>518</v>
      </c>
      <c r="J550" s="8" t="s">
        <v>2220</v>
      </c>
      <c r="K550" s="6"/>
      <c r="L550" s="7" t="s">
        <v>22</v>
      </c>
      <c r="M550" s="6" t="s">
        <v>40</v>
      </c>
      <c r="N550" s="6"/>
      <c r="O550" s="6">
        <f>HYPERLINK("https://docs.wto.org/imrd/directdoc.asp?DDFDocuments/t/G/SPS/NBDI20A2.DOCX", "https://docs.wto.org/imrd/directdoc.asp?DDFDocuments/t/G/SPS/NBDI20A2.DOCX")</f>
      </c>
      <c r="P550" s="6">
        <f>HYPERLINK("https://docs.wto.org/imrd/directdoc.asp?DDFDocuments/u/G/SPS/NBDI20A2.DOCX", "https://docs.wto.org/imrd/directdoc.asp?DDFDocuments/u/G/SPS/NBDI20A2.DOCX")</f>
      </c>
      <c r="Q550" s="6">
        <f>HYPERLINK("https://docs.wto.org/imrd/directdoc.asp?DDFDocuments/v/G/SPS/NBDI20A2.DOCX", "https://docs.wto.org/imrd/directdoc.asp?DDFDocuments/v/G/SPS/NBDI20A2.DOCX")</f>
      </c>
    </row>
    <row r="551">
      <c r="A551" s="6" t="s">
        <v>26</v>
      </c>
      <c r="B551" s="7">
        <v>45621</v>
      </c>
      <c r="C551" s="9">
        <f>HYPERLINK("https://eping.wto.org/en/Search?viewData= G/SPS/N/BDI/20/Add.2, G/SPS/N/KEN/172/Add.2, G/SPS/N/RWA/13/Add.2, G/SPS/N/TZA/204/Add.2, G/SPS/N/UGA/214/Add.2"," G/SPS/N/BDI/20/Add.2, G/SPS/N/KEN/172/Add.2, G/SPS/N/RWA/13/Add.2, G/SPS/N/TZA/204/Add.2, G/SPS/N/UGA/214/Add.2")</f>
      </c>
      <c r="D551" s="8" t="s">
        <v>2190</v>
      </c>
      <c r="E551" s="8" t="s">
        <v>2191</v>
      </c>
      <c r="F551" s="8" t="s">
        <v>2192</v>
      </c>
      <c r="G551" s="8" t="s">
        <v>2193</v>
      </c>
      <c r="H551" s="8" t="s">
        <v>2073</v>
      </c>
      <c r="I551" s="8" t="s">
        <v>518</v>
      </c>
      <c r="J551" s="8" t="s">
        <v>2220</v>
      </c>
      <c r="K551" s="6"/>
      <c r="L551" s="7" t="s">
        <v>22</v>
      </c>
      <c r="M551" s="6" t="s">
        <v>40</v>
      </c>
      <c r="N551" s="6"/>
      <c r="O551" s="6">
        <f>HYPERLINK("https://docs.wto.org/imrd/directdoc.asp?DDFDocuments/t/G/SPS/NBDI20A2.DOCX", "https://docs.wto.org/imrd/directdoc.asp?DDFDocuments/t/G/SPS/NBDI20A2.DOCX")</f>
      </c>
      <c r="P551" s="6">
        <f>HYPERLINK("https://docs.wto.org/imrd/directdoc.asp?DDFDocuments/u/G/SPS/NBDI20A2.DOCX", "https://docs.wto.org/imrd/directdoc.asp?DDFDocuments/u/G/SPS/NBDI20A2.DOCX")</f>
      </c>
      <c r="Q551" s="6">
        <f>HYPERLINK("https://docs.wto.org/imrd/directdoc.asp?DDFDocuments/v/G/SPS/NBDI20A2.DOCX", "https://docs.wto.org/imrd/directdoc.asp?DDFDocuments/v/G/SPS/NBDI20A2.DOCX")</f>
      </c>
    </row>
    <row r="552">
      <c r="A552" s="6" t="s">
        <v>49</v>
      </c>
      <c r="B552" s="7">
        <v>45621</v>
      </c>
      <c r="C552" s="9">
        <f>HYPERLINK("https://eping.wto.org/en/Search?viewData= G/SPS/N/BDI/20/Add.2, G/SPS/N/KEN/172/Add.2, G/SPS/N/RWA/13/Add.2, G/SPS/N/TZA/204/Add.2, G/SPS/N/UGA/214/Add.2"," G/SPS/N/BDI/20/Add.2, G/SPS/N/KEN/172/Add.2, G/SPS/N/RWA/13/Add.2, G/SPS/N/TZA/204/Add.2, G/SPS/N/UGA/214/Add.2")</f>
      </c>
      <c r="D552" s="8" t="s">
        <v>2190</v>
      </c>
      <c r="E552" s="8" t="s">
        <v>2191</v>
      </c>
      <c r="F552" s="8" t="s">
        <v>2192</v>
      </c>
      <c r="G552" s="8" t="s">
        <v>2193</v>
      </c>
      <c r="H552" s="8" t="s">
        <v>2073</v>
      </c>
      <c r="I552" s="8" t="s">
        <v>518</v>
      </c>
      <c r="J552" s="8" t="s">
        <v>2220</v>
      </c>
      <c r="K552" s="6"/>
      <c r="L552" s="7" t="s">
        <v>22</v>
      </c>
      <c r="M552" s="6" t="s">
        <v>40</v>
      </c>
      <c r="N552" s="6"/>
      <c r="O552" s="6">
        <f>HYPERLINK("https://docs.wto.org/imrd/directdoc.asp?DDFDocuments/t/G/SPS/NBDI20A2.DOCX", "https://docs.wto.org/imrd/directdoc.asp?DDFDocuments/t/G/SPS/NBDI20A2.DOCX")</f>
      </c>
      <c r="P552" s="6">
        <f>HYPERLINK("https://docs.wto.org/imrd/directdoc.asp?DDFDocuments/u/G/SPS/NBDI20A2.DOCX", "https://docs.wto.org/imrd/directdoc.asp?DDFDocuments/u/G/SPS/NBDI20A2.DOCX")</f>
      </c>
      <c r="Q552" s="6">
        <f>HYPERLINK("https://docs.wto.org/imrd/directdoc.asp?DDFDocuments/v/G/SPS/NBDI20A2.DOCX", "https://docs.wto.org/imrd/directdoc.asp?DDFDocuments/v/G/SPS/NBDI20A2.DOCX")</f>
      </c>
    </row>
    <row r="553">
      <c r="A553" s="6" t="s">
        <v>2213</v>
      </c>
      <c r="B553" s="7">
        <v>45621</v>
      </c>
      <c r="C553" s="9">
        <f>HYPERLINK("https://eping.wto.org/en/Search?viewData= G/TBT/N/BOL/12/Add.4, G/TBT/N/COL/234/Add.4, G/TBT/N/ECU/341/Add.4, G/TBT/N/PER/108/Add.4"," G/TBT/N/BOL/12/Add.4, G/TBT/N/COL/234/Add.4, G/TBT/N/ECU/341/Add.4, G/TBT/N/PER/108/Add.4")</f>
      </c>
      <c r="D553" s="8" t="s">
        <v>2194</v>
      </c>
      <c r="E553" s="8" t="s">
        <v>2195</v>
      </c>
      <c r="F553" s="8" t="s">
        <v>2196</v>
      </c>
      <c r="G553" s="8" t="s">
        <v>2205</v>
      </c>
      <c r="H553" s="8" t="s">
        <v>2198</v>
      </c>
      <c r="I553" s="8" t="s">
        <v>1819</v>
      </c>
      <c r="J553" s="8" t="s">
        <v>2206</v>
      </c>
      <c r="K553" s="6"/>
      <c r="L553" s="7" t="s">
        <v>22</v>
      </c>
      <c r="M553" s="6" t="s">
        <v>40</v>
      </c>
      <c r="N553" s="8" t="s">
        <v>2199</v>
      </c>
      <c r="O553" s="6">
        <f>HYPERLINK("https://docs.wto.org/imrd/directdoc.asp?DDFDocuments/t/G/TBTN18/BOL12A4.DOCX", "https://docs.wto.org/imrd/directdoc.asp?DDFDocuments/t/G/TBTN18/BOL12A4.DOCX")</f>
      </c>
      <c r="P553" s="6">
        <f>HYPERLINK("https://docs.wto.org/imrd/directdoc.asp?DDFDocuments/u/G/TBTN18/BOL12A4.DOCX", "https://docs.wto.org/imrd/directdoc.asp?DDFDocuments/u/G/TBTN18/BOL12A4.DOCX")</f>
      </c>
      <c r="Q553" s="6">
        <f>HYPERLINK("https://docs.wto.org/imrd/directdoc.asp?DDFDocuments/v/G/TBTN18/BOL12A4.DOCX", "https://docs.wto.org/imrd/directdoc.asp?DDFDocuments/v/G/TBTN18/BOL12A4.DOCX")</f>
      </c>
    </row>
    <row r="554">
      <c r="A554" s="6" t="s">
        <v>152</v>
      </c>
      <c r="B554" s="7">
        <v>45621</v>
      </c>
      <c r="C554" s="9">
        <f>HYPERLINK("https://eping.wto.org/en/Search?viewData= G/TBT/N/BOL/26/Add.1, G/TBT/N/COL/267/Add.1, G/TBT/N/ECU/523/Add.1, G/TBT/N/PER/156/Add.1"," G/TBT/N/BOL/26/Add.1, G/TBT/N/COL/267/Add.1, G/TBT/N/ECU/523/Add.1, G/TBT/N/PER/156/Add.1")</f>
      </c>
      <c r="D554" s="8" t="s">
        <v>2214</v>
      </c>
      <c r="E554" s="8" t="s">
        <v>2215</v>
      </c>
      <c r="F554" s="8" t="s">
        <v>2216</v>
      </c>
      <c r="G554" s="8" t="s">
        <v>2217</v>
      </c>
      <c r="H554" s="8" t="s">
        <v>22</v>
      </c>
      <c r="I554" s="8" t="s">
        <v>2218</v>
      </c>
      <c r="J554" s="8" t="s">
        <v>22</v>
      </c>
      <c r="K554" s="6"/>
      <c r="L554" s="7" t="s">
        <v>22</v>
      </c>
      <c r="M554" s="6" t="s">
        <v>40</v>
      </c>
      <c r="N554" s="8" t="s">
        <v>2219</v>
      </c>
      <c r="O554" s="6">
        <f>HYPERLINK("https://docs.wto.org/imrd/directdoc.asp?DDFDocuments/t/G/TBTN24/BOL26A1.DOCX", "https://docs.wto.org/imrd/directdoc.asp?DDFDocuments/t/G/TBTN24/BOL26A1.DOCX")</f>
      </c>
      <c r="P554" s="6">
        <f>HYPERLINK("https://docs.wto.org/imrd/directdoc.asp?DDFDocuments/u/G/TBTN24/BOL26A1.DOCX", "https://docs.wto.org/imrd/directdoc.asp?DDFDocuments/u/G/TBTN24/BOL26A1.DOCX")</f>
      </c>
      <c r="Q554" s="6">
        <f>HYPERLINK("https://docs.wto.org/imrd/directdoc.asp?DDFDocuments/v/G/TBTN24/BOL26A1.DOCX", "https://docs.wto.org/imrd/directdoc.asp?DDFDocuments/v/G/TBTN24/BOL26A1.DOCX")</f>
      </c>
    </row>
    <row r="555">
      <c r="A555" s="6" t="s">
        <v>170</v>
      </c>
      <c r="B555" s="7">
        <v>45621</v>
      </c>
      <c r="C555" s="9">
        <f>HYPERLINK("https://eping.wto.org/en/Search?viewData= G/SPS/N/SAU/539/Add.1"," G/SPS/N/SAU/539/Add.1")</f>
      </c>
      <c r="D555" s="8" t="s">
        <v>2221</v>
      </c>
      <c r="E555" s="8" t="s">
        <v>2222</v>
      </c>
      <c r="F555" s="8" t="s">
        <v>173</v>
      </c>
      <c r="G555" s="8" t="s">
        <v>174</v>
      </c>
      <c r="H555" s="8" t="s">
        <v>22</v>
      </c>
      <c r="I555" s="8" t="s">
        <v>175</v>
      </c>
      <c r="J555" s="8" t="s">
        <v>2223</v>
      </c>
      <c r="K555" s="6"/>
      <c r="L555" s="7" t="s">
        <v>22</v>
      </c>
      <c r="M555" s="6" t="s">
        <v>24</v>
      </c>
      <c r="N555" s="8" t="s">
        <v>2224</v>
      </c>
      <c r="O555" s="6">
        <f>HYPERLINK("https://docs.wto.org/imrd/directdoc.asp?DDFDocuments/t/G/SPS/NSAU539A1.DOCX", "https://docs.wto.org/imrd/directdoc.asp?DDFDocuments/t/G/SPS/NSAU539A1.DOCX")</f>
      </c>
      <c r="P555" s="6">
        <f>HYPERLINK("https://docs.wto.org/imrd/directdoc.asp?DDFDocuments/u/G/SPS/NSAU539A1.DOCX", "https://docs.wto.org/imrd/directdoc.asp?DDFDocuments/u/G/SPS/NSAU539A1.DOCX")</f>
      </c>
      <c r="Q555" s="6">
        <f>HYPERLINK("https://docs.wto.org/imrd/directdoc.asp?DDFDocuments/v/G/SPS/NSAU539A1.DOCX", "https://docs.wto.org/imrd/directdoc.asp?DDFDocuments/v/G/SPS/NSAU539A1.DOCX")</f>
      </c>
    </row>
    <row r="556">
      <c r="A556" s="6" t="s">
        <v>646</v>
      </c>
      <c r="B556" s="7">
        <v>45621</v>
      </c>
      <c r="C556" s="9">
        <f>HYPERLINK("https://eping.wto.org/en/Search?viewData= G/TBT/N/BOL/26/Add.1, G/TBT/N/COL/267/Add.1, G/TBT/N/ECU/523/Add.1, G/TBT/N/PER/156/Add.1"," G/TBT/N/BOL/26/Add.1, G/TBT/N/COL/267/Add.1, G/TBT/N/ECU/523/Add.1, G/TBT/N/PER/156/Add.1")</f>
      </c>
      <c r="D556" s="8" t="s">
        <v>2214</v>
      </c>
      <c r="E556" s="8" t="s">
        <v>2215</v>
      </c>
      <c r="F556" s="8" t="s">
        <v>2216</v>
      </c>
      <c r="G556" s="8" t="s">
        <v>2217</v>
      </c>
      <c r="H556" s="8" t="s">
        <v>22</v>
      </c>
      <c r="I556" s="8" t="s">
        <v>1819</v>
      </c>
      <c r="J556" s="8" t="s">
        <v>22</v>
      </c>
      <c r="K556" s="6"/>
      <c r="L556" s="7" t="s">
        <v>22</v>
      </c>
      <c r="M556" s="6" t="s">
        <v>40</v>
      </c>
      <c r="N556" s="8" t="s">
        <v>2219</v>
      </c>
      <c r="O556" s="6">
        <f>HYPERLINK("https://docs.wto.org/imrd/directdoc.asp?DDFDocuments/t/G/TBTN24/BOL26A1.DOCX", "https://docs.wto.org/imrd/directdoc.asp?DDFDocuments/t/G/TBTN24/BOL26A1.DOCX")</f>
      </c>
      <c r="P556" s="6">
        <f>HYPERLINK("https://docs.wto.org/imrd/directdoc.asp?DDFDocuments/u/G/TBTN24/BOL26A1.DOCX", "https://docs.wto.org/imrd/directdoc.asp?DDFDocuments/u/G/TBTN24/BOL26A1.DOCX")</f>
      </c>
      <c r="Q556" s="6">
        <f>HYPERLINK("https://docs.wto.org/imrd/directdoc.asp?DDFDocuments/v/G/TBTN24/BOL26A1.DOCX", "https://docs.wto.org/imrd/directdoc.asp?DDFDocuments/v/G/TBTN24/BOL26A1.DOCX")</f>
      </c>
    </row>
    <row r="557">
      <c r="A557" s="6" t="s">
        <v>53</v>
      </c>
      <c r="B557" s="7">
        <v>45621</v>
      </c>
      <c r="C557" s="9">
        <f>HYPERLINK("https://eping.wto.org/en/Search?viewData= G/TBT/N/KEN/1715"," G/TBT/N/KEN/1715")</f>
      </c>
      <c r="D557" s="8" t="s">
        <v>2225</v>
      </c>
      <c r="E557" s="8" t="s">
        <v>2226</v>
      </c>
      <c r="F557" s="8" t="s">
        <v>2227</v>
      </c>
      <c r="G557" s="8" t="s">
        <v>22</v>
      </c>
      <c r="H557" s="8" t="s">
        <v>2228</v>
      </c>
      <c r="I557" s="8" t="s">
        <v>220</v>
      </c>
      <c r="J557" s="8" t="s">
        <v>22</v>
      </c>
      <c r="K557" s="6"/>
      <c r="L557" s="7">
        <v>45681</v>
      </c>
      <c r="M557" s="6" t="s">
        <v>32</v>
      </c>
      <c r="N557" s="8" t="s">
        <v>2229</v>
      </c>
      <c r="O557" s="6">
        <f>HYPERLINK("https://docs.wto.org/imrd/directdoc.asp?DDFDocuments/t/G/TBTN24/KEN1715.DOCX", "https://docs.wto.org/imrd/directdoc.asp?DDFDocuments/t/G/TBTN24/KEN1715.DOCX")</f>
      </c>
      <c r="P557" s="6">
        <f>HYPERLINK("https://docs.wto.org/imrd/directdoc.asp?DDFDocuments/u/G/TBTN24/KEN1715.DOCX", "https://docs.wto.org/imrd/directdoc.asp?DDFDocuments/u/G/TBTN24/KEN1715.DOCX")</f>
      </c>
      <c r="Q557" s="6">
        <f>HYPERLINK("https://docs.wto.org/imrd/directdoc.asp?DDFDocuments/v/G/TBTN24/KEN1715.DOCX", "https://docs.wto.org/imrd/directdoc.asp?DDFDocuments/v/G/TBTN24/KEN1715.DOCX")</f>
      </c>
    </row>
    <row r="558">
      <c r="A558" s="6" t="s">
        <v>374</v>
      </c>
      <c r="B558" s="7">
        <v>45621</v>
      </c>
      <c r="C558" s="9">
        <f>HYPERLINK("https://eping.wto.org/en/Search?viewData= G/SPS/N/CRI/289"," G/SPS/N/CRI/289")</f>
      </c>
      <c r="D558" s="8" t="s">
        <v>2230</v>
      </c>
      <c r="E558" s="8" t="s">
        <v>2231</v>
      </c>
      <c r="F558" s="8" t="s">
        <v>2232</v>
      </c>
      <c r="G558" s="8" t="s">
        <v>1827</v>
      </c>
      <c r="H558" s="8" t="s">
        <v>22</v>
      </c>
      <c r="I558" s="8" t="s">
        <v>390</v>
      </c>
      <c r="J558" s="8" t="s">
        <v>771</v>
      </c>
      <c r="K558" s="6" t="s">
        <v>22</v>
      </c>
      <c r="L558" s="7">
        <v>45681</v>
      </c>
      <c r="M558" s="6" t="s">
        <v>32</v>
      </c>
      <c r="N558" s="8" t="s">
        <v>2233</v>
      </c>
      <c r="O558" s="6">
        <f>HYPERLINK("https://docs.wto.org/imrd/directdoc.asp?DDFDocuments/t/G/SPS/NCRI289.DOCX", "https://docs.wto.org/imrd/directdoc.asp?DDFDocuments/t/G/SPS/NCRI289.DOCX")</f>
      </c>
      <c r="P558" s="6">
        <f>HYPERLINK("https://docs.wto.org/imrd/directdoc.asp?DDFDocuments/u/G/SPS/NCRI289.DOCX", "https://docs.wto.org/imrd/directdoc.asp?DDFDocuments/u/G/SPS/NCRI289.DOCX")</f>
      </c>
      <c r="Q558" s="6">
        <f>HYPERLINK("https://docs.wto.org/imrd/directdoc.asp?DDFDocuments/v/G/SPS/NCRI289.DOCX", "https://docs.wto.org/imrd/directdoc.asp?DDFDocuments/v/G/SPS/NCRI289.DOCX")</f>
      </c>
    </row>
    <row r="559">
      <c r="A559" s="6" t="s">
        <v>123</v>
      </c>
      <c r="B559" s="7">
        <v>45621</v>
      </c>
      <c r="C559" s="9">
        <f>HYPERLINK("https://eping.wto.org/en/Search?viewData= G/TBT/N/BOL/12/Add.4, G/TBT/N/COL/234/Add.4, G/TBT/N/ECU/341/Add.4, G/TBT/N/PER/108/Add.4"," G/TBT/N/BOL/12/Add.4, G/TBT/N/COL/234/Add.4, G/TBT/N/ECU/341/Add.4, G/TBT/N/PER/108/Add.4")</f>
      </c>
      <c r="D559" s="8" t="s">
        <v>2194</v>
      </c>
      <c r="E559" s="8" t="s">
        <v>2195</v>
      </c>
      <c r="F559" s="8" t="s">
        <v>2196</v>
      </c>
      <c r="G559" s="8" t="s">
        <v>2205</v>
      </c>
      <c r="H559" s="8" t="s">
        <v>2198</v>
      </c>
      <c r="I559" s="8" t="s">
        <v>1819</v>
      </c>
      <c r="J559" s="8" t="s">
        <v>2206</v>
      </c>
      <c r="K559" s="6"/>
      <c r="L559" s="7" t="s">
        <v>22</v>
      </c>
      <c r="M559" s="6" t="s">
        <v>40</v>
      </c>
      <c r="N559" s="8" t="s">
        <v>2199</v>
      </c>
      <c r="O559" s="6">
        <f>HYPERLINK("https://docs.wto.org/imrd/directdoc.asp?DDFDocuments/t/G/TBTN18/BOL12A4.DOCX", "https://docs.wto.org/imrd/directdoc.asp?DDFDocuments/t/G/TBTN18/BOL12A4.DOCX")</f>
      </c>
      <c r="P559" s="6">
        <f>HYPERLINK("https://docs.wto.org/imrd/directdoc.asp?DDFDocuments/u/G/TBTN18/BOL12A4.DOCX", "https://docs.wto.org/imrd/directdoc.asp?DDFDocuments/u/G/TBTN18/BOL12A4.DOCX")</f>
      </c>
      <c r="Q559" s="6">
        <f>HYPERLINK("https://docs.wto.org/imrd/directdoc.asp?DDFDocuments/v/G/TBTN18/BOL12A4.DOCX", "https://docs.wto.org/imrd/directdoc.asp?DDFDocuments/v/G/TBTN18/BOL12A4.DOCX")</f>
      </c>
    </row>
    <row r="560">
      <c r="A560" s="6" t="s">
        <v>130</v>
      </c>
      <c r="B560" s="7">
        <v>45621</v>
      </c>
      <c r="C560" s="9">
        <f>HYPERLINK("https://eping.wto.org/en/Search?viewData= G/TBT/N/ARG/458/Add.1"," G/TBT/N/ARG/458/Add.1")</f>
      </c>
      <c r="D560" s="8" t="s">
        <v>2234</v>
      </c>
      <c r="E560" s="8" t="s">
        <v>2235</v>
      </c>
      <c r="F560" s="8" t="s">
        <v>2236</v>
      </c>
      <c r="G560" s="8" t="s">
        <v>22</v>
      </c>
      <c r="H560" s="8" t="s">
        <v>22</v>
      </c>
      <c r="I560" s="8" t="s">
        <v>2237</v>
      </c>
      <c r="J560" s="8" t="s">
        <v>22</v>
      </c>
      <c r="K560" s="6"/>
      <c r="L560" s="7" t="s">
        <v>22</v>
      </c>
      <c r="M560" s="6" t="s">
        <v>40</v>
      </c>
      <c r="N560" s="8" t="s">
        <v>2238</v>
      </c>
      <c r="O560" s="6">
        <f>HYPERLINK("https://docs.wto.org/imrd/directdoc.asp?DDFDocuments/t/G/TBTN24/ARG458A1.DOCX", "https://docs.wto.org/imrd/directdoc.asp?DDFDocuments/t/G/TBTN24/ARG458A1.DOCX")</f>
      </c>
      <c r="P560" s="6">
        <f>HYPERLINK("https://docs.wto.org/imrd/directdoc.asp?DDFDocuments/u/G/TBTN24/ARG458A1.DOCX", "https://docs.wto.org/imrd/directdoc.asp?DDFDocuments/u/G/TBTN24/ARG458A1.DOCX")</f>
      </c>
      <c r="Q560" s="6">
        <f>HYPERLINK("https://docs.wto.org/imrd/directdoc.asp?DDFDocuments/v/G/TBTN24/ARG458A1.DOCX", "https://docs.wto.org/imrd/directdoc.asp?DDFDocuments/v/G/TBTN24/ARG458A1.DOCX")</f>
      </c>
    </row>
    <row r="561">
      <c r="A561" s="6" t="s">
        <v>400</v>
      </c>
      <c r="B561" s="7">
        <v>45618</v>
      </c>
      <c r="C561" s="9">
        <f>HYPERLINK("https://eping.wto.org/en/Search?viewData= G/TBT/N/USA/2162"," G/TBT/N/USA/2162")</f>
      </c>
      <c r="D561" s="8" t="s">
        <v>2239</v>
      </c>
      <c r="E561" s="8" t="s">
        <v>2240</v>
      </c>
      <c r="F561" s="8" t="s">
        <v>2241</v>
      </c>
      <c r="G561" s="8" t="s">
        <v>2242</v>
      </c>
      <c r="H561" s="8" t="s">
        <v>2243</v>
      </c>
      <c r="I561" s="8" t="s">
        <v>138</v>
      </c>
      <c r="J561" s="8" t="s">
        <v>22</v>
      </c>
      <c r="K561" s="6"/>
      <c r="L561" s="7">
        <v>45647</v>
      </c>
      <c r="M561" s="6" t="s">
        <v>32</v>
      </c>
      <c r="N561" s="8" t="s">
        <v>2244</v>
      </c>
      <c r="O561" s="6">
        <f>HYPERLINK("https://docs.wto.org/imrd/directdoc.asp?DDFDocuments/t/G/TBTN24/USA2162.DOCX", "https://docs.wto.org/imrd/directdoc.asp?DDFDocuments/t/G/TBTN24/USA2162.DOCX")</f>
      </c>
      <c r="P561" s="6">
        <f>HYPERLINK("https://docs.wto.org/imrd/directdoc.asp?DDFDocuments/u/G/TBTN24/USA2162.DOCX", "https://docs.wto.org/imrd/directdoc.asp?DDFDocuments/u/G/TBTN24/USA2162.DOCX")</f>
      </c>
      <c r="Q561" s="6">
        <f>HYPERLINK("https://docs.wto.org/imrd/directdoc.asp?DDFDocuments/v/G/TBTN24/USA2162.DOCX", "https://docs.wto.org/imrd/directdoc.asp?DDFDocuments/v/G/TBTN24/USA2162.DOCX")</f>
      </c>
    </row>
    <row r="562">
      <c r="A562" s="6" t="s">
        <v>49</v>
      </c>
      <c r="B562" s="7">
        <v>45618</v>
      </c>
      <c r="C562" s="9">
        <f>HYPERLINK("https://eping.wto.org/en/Search?viewData= G/TBT/N/TZA/1223"," G/TBT/N/TZA/1223")</f>
      </c>
      <c r="D562" s="8" t="s">
        <v>2245</v>
      </c>
      <c r="E562" s="8" t="s">
        <v>2246</v>
      </c>
      <c r="F562" s="8" t="s">
        <v>2247</v>
      </c>
      <c r="G562" s="8" t="s">
        <v>2248</v>
      </c>
      <c r="H562" s="8" t="s">
        <v>2249</v>
      </c>
      <c r="I562" s="8" t="s">
        <v>1058</v>
      </c>
      <c r="J562" s="8" t="s">
        <v>58</v>
      </c>
      <c r="K562" s="6"/>
      <c r="L562" s="7">
        <v>45678</v>
      </c>
      <c r="M562" s="6" t="s">
        <v>32</v>
      </c>
      <c r="N562" s="8" t="s">
        <v>2250</v>
      </c>
      <c r="O562" s="6">
        <f>HYPERLINK("https://docs.wto.org/imrd/directdoc.asp?DDFDocuments/t/G/TBTN24/TZA1223.DOCX", "https://docs.wto.org/imrd/directdoc.asp?DDFDocuments/t/G/TBTN24/TZA1223.DOCX")</f>
      </c>
      <c r="P562" s="6">
        <f>HYPERLINK("https://docs.wto.org/imrd/directdoc.asp?DDFDocuments/u/G/TBTN24/TZA1223.DOCX", "https://docs.wto.org/imrd/directdoc.asp?DDFDocuments/u/G/TBTN24/TZA1223.DOCX")</f>
      </c>
      <c r="Q562" s="6">
        <f>HYPERLINK("https://docs.wto.org/imrd/directdoc.asp?DDFDocuments/v/G/TBTN24/TZA1223.DOCX", "https://docs.wto.org/imrd/directdoc.asp?DDFDocuments/v/G/TBTN24/TZA1223.DOCX")</f>
      </c>
    </row>
    <row r="563">
      <c r="A563" s="6" t="s">
        <v>2251</v>
      </c>
      <c r="B563" s="7">
        <v>45618</v>
      </c>
      <c r="C563" s="9">
        <f>HYPERLINK("https://eping.wto.org/en/Search?viewData= G/TBT/N/MOZ/30"," G/TBT/N/MOZ/30")</f>
      </c>
      <c r="D563" s="8" t="s">
        <v>2252</v>
      </c>
      <c r="E563" s="8" t="s">
        <v>2253</v>
      </c>
      <c r="F563" s="8" t="s">
        <v>2254</v>
      </c>
      <c r="G563" s="8" t="s">
        <v>2255</v>
      </c>
      <c r="H563" s="8" t="s">
        <v>2256</v>
      </c>
      <c r="I563" s="8" t="s">
        <v>2257</v>
      </c>
      <c r="J563" s="8" t="s">
        <v>58</v>
      </c>
      <c r="K563" s="6"/>
      <c r="L563" s="7">
        <v>45678</v>
      </c>
      <c r="M563" s="6" t="s">
        <v>32</v>
      </c>
      <c r="N563" s="8" t="s">
        <v>2258</v>
      </c>
      <c r="O563" s="6">
        <f>HYPERLINK("https://docs.wto.org/imrd/directdoc.asp?DDFDocuments/t/G/TBTN24/MOZ30.DOCX", "https://docs.wto.org/imrd/directdoc.asp?DDFDocuments/t/G/TBTN24/MOZ30.DOCX")</f>
      </c>
      <c r="P563" s="6">
        <f>HYPERLINK("https://docs.wto.org/imrd/directdoc.asp?DDFDocuments/u/G/TBTN24/MOZ30.DOCX", "https://docs.wto.org/imrd/directdoc.asp?DDFDocuments/u/G/TBTN24/MOZ30.DOCX")</f>
      </c>
      <c r="Q563" s="6">
        <f>HYPERLINK("https://docs.wto.org/imrd/directdoc.asp?DDFDocuments/v/G/TBTN24/MOZ30.DOCX", "https://docs.wto.org/imrd/directdoc.asp?DDFDocuments/v/G/TBTN24/MOZ30.DOCX")</f>
      </c>
    </row>
    <row r="564">
      <c r="A564" s="6" t="s">
        <v>53</v>
      </c>
      <c r="B564" s="7">
        <v>45618</v>
      </c>
      <c r="C564" s="9">
        <f>HYPERLINK("https://eping.wto.org/en/Search?viewData= G/SPS/N/KEN/316"," G/SPS/N/KEN/316")</f>
      </c>
      <c r="D564" s="8" t="s">
        <v>2259</v>
      </c>
      <c r="E564" s="8" t="s">
        <v>2260</v>
      </c>
      <c r="F564" s="8" t="s">
        <v>2261</v>
      </c>
      <c r="G564" s="8" t="s">
        <v>904</v>
      </c>
      <c r="H564" s="8" t="s">
        <v>2262</v>
      </c>
      <c r="I564" s="8" t="s">
        <v>120</v>
      </c>
      <c r="J564" s="8" t="s">
        <v>416</v>
      </c>
      <c r="K564" s="6" t="s">
        <v>22</v>
      </c>
      <c r="L564" s="7">
        <v>45678</v>
      </c>
      <c r="M564" s="6" t="s">
        <v>32</v>
      </c>
      <c r="N564" s="8" t="s">
        <v>2263</v>
      </c>
      <c r="O564" s="6">
        <f>HYPERLINK("https://docs.wto.org/imrd/directdoc.asp?DDFDocuments/t/G/SPS/NKEN316.DOCX", "https://docs.wto.org/imrd/directdoc.asp?DDFDocuments/t/G/SPS/NKEN316.DOCX")</f>
      </c>
      <c r="P564" s="6">
        <f>HYPERLINK("https://docs.wto.org/imrd/directdoc.asp?DDFDocuments/u/G/SPS/NKEN316.DOCX", "https://docs.wto.org/imrd/directdoc.asp?DDFDocuments/u/G/SPS/NKEN316.DOCX")</f>
      </c>
      <c r="Q564" s="6">
        <f>HYPERLINK("https://docs.wto.org/imrd/directdoc.asp?DDFDocuments/v/G/SPS/NKEN316.DOCX", "https://docs.wto.org/imrd/directdoc.asp?DDFDocuments/v/G/SPS/NKEN316.DOCX")</f>
      </c>
    </row>
    <row r="565">
      <c r="A565" s="6" t="s">
        <v>53</v>
      </c>
      <c r="B565" s="7">
        <v>45618</v>
      </c>
      <c r="C565" s="9">
        <f>HYPERLINK("https://eping.wto.org/en/Search?viewData= G/SPS/N/KEN/318"," G/SPS/N/KEN/318")</f>
      </c>
      <c r="D565" s="8" t="s">
        <v>2264</v>
      </c>
      <c r="E565" s="8" t="s">
        <v>2265</v>
      </c>
      <c r="F565" s="8" t="s">
        <v>2209</v>
      </c>
      <c r="G565" s="8" t="s">
        <v>22</v>
      </c>
      <c r="H565" s="8" t="s">
        <v>2211</v>
      </c>
      <c r="I565" s="8" t="s">
        <v>120</v>
      </c>
      <c r="J565" s="8" t="s">
        <v>255</v>
      </c>
      <c r="K565" s="6" t="s">
        <v>22</v>
      </c>
      <c r="L565" s="7">
        <v>45678</v>
      </c>
      <c r="M565" s="6" t="s">
        <v>32</v>
      </c>
      <c r="N565" s="8" t="s">
        <v>2266</v>
      </c>
      <c r="O565" s="6">
        <f>HYPERLINK("https://docs.wto.org/imrd/directdoc.asp?DDFDocuments/t/G/SPS/NKEN318.DOCX", "https://docs.wto.org/imrd/directdoc.asp?DDFDocuments/t/G/SPS/NKEN318.DOCX")</f>
      </c>
      <c r="P565" s="6">
        <f>HYPERLINK("https://docs.wto.org/imrd/directdoc.asp?DDFDocuments/u/G/SPS/NKEN318.DOCX", "https://docs.wto.org/imrd/directdoc.asp?DDFDocuments/u/G/SPS/NKEN318.DOCX")</f>
      </c>
      <c r="Q565" s="6">
        <f>HYPERLINK("https://docs.wto.org/imrd/directdoc.asp?DDFDocuments/v/G/SPS/NKEN318.DOCX", "https://docs.wto.org/imrd/directdoc.asp?DDFDocuments/v/G/SPS/NKEN318.DOCX")</f>
      </c>
    </row>
    <row r="566">
      <c r="A566" s="6" t="s">
        <v>343</v>
      </c>
      <c r="B566" s="7">
        <v>45618</v>
      </c>
      <c r="C566" s="9">
        <f>HYPERLINK("https://eping.wto.org/en/Search?viewData= G/SPS/N/THA/775"," G/SPS/N/THA/775")</f>
      </c>
      <c r="D566" s="8" t="s">
        <v>2267</v>
      </c>
      <c r="E566" s="8" t="s">
        <v>2268</v>
      </c>
      <c r="F566" s="8" t="s">
        <v>383</v>
      </c>
      <c r="G566" s="8" t="s">
        <v>347</v>
      </c>
      <c r="H566" s="8" t="s">
        <v>22</v>
      </c>
      <c r="I566" s="8" t="s">
        <v>348</v>
      </c>
      <c r="J566" s="8" t="s">
        <v>1711</v>
      </c>
      <c r="K566" s="6" t="s">
        <v>34</v>
      </c>
      <c r="L566" s="7" t="s">
        <v>22</v>
      </c>
      <c r="M566" s="6" t="s">
        <v>331</v>
      </c>
      <c r="N566" s="6"/>
      <c r="O566" s="6">
        <f>HYPERLINK("https://docs.wto.org/imrd/directdoc.asp?DDFDocuments/t/G/SPS/NTHA775.DOCX", "https://docs.wto.org/imrd/directdoc.asp?DDFDocuments/t/G/SPS/NTHA775.DOCX")</f>
      </c>
      <c r="P566" s="6">
        <f>HYPERLINK("https://docs.wto.org/imrd/directdoc.asp?DDFDocuments/u/G/SPS/NTHA775.DOCX", "https://docs.wto.org/imrd/directdoc.asp?DDFDocuments/u/G/SPS/NTHA775.DOCX")</f>
      </c>
      <c r="Q566" s="6">
        <f>HYPERLINK("https://docs.wto.org/imrd/directdoc.asp?DDFDocuments/v/G/SPS/NTHA775.DOCX", "https://docs.wto.org/imrd/directdoc.asp?DDFDocuments/v/G/SPS/NTHA775.DOCX")</f>
      </c>
    </row>
    <row r="567">
      <c r="A567" s="6" t="s">
        <v>82</v>
      </c>
      <c r="B567" s="7">
        <v>45618</v>
      </c>
      <c r="C567" s="9">
        <f>HYPERLINK("https://eping.wto.org/en/Search?viewData= G/TBT/N/BRA/955/Add.3"," G/TBT/N/BRA/955/Add.3")</f>
      </c>
      <c r="D567" s="8" t="s">
        <v>2269</v>
      </c>
      <c r="E567" s="8" t="s">
        <v>2270</v>
      </c>
      <c r="F567" s="8" t="s">
        <v>2271</v>
      </c>
      <c r="G567" s="8" t="s">
        <v>2272</v>
      </c>
      <c r="H567" s="8" t="s">
        <v>264</v>
      </c>
      <c r="I567" s="8" t="s">
        <v>39</v>
      </c>
      <c r="J567" s="8" t="s">
        <v>266</v>
      </c>
      <c r="K567" s="6"/>
      <c r="L567" s="7" t="s">
        <v>22</v>
      </c>
      <c r="M567" s="6" t="s">
        <v>40</v>
      </c>
      <c r="N567" s="8" t="s">
        <v>2273</v>
      </c>
      <c r="O567" s="6">
        <f>HYPERLINK("https://docs.wto.org/imrd/directdoc.asp?DDFDocuments/t/G/TBTN20/BRA955A3.DOCX", "https://docs.wto.org/imrd/directdoc.asp?DDFDocuments/t/G/TBTN20/BRA955A3.DOCX")</f>
      </c>
      <c r="P567" s="6">
        <f>HYPERLINK("https://docs.wto.org/imrd/directdoc.asp?DDFDocuments/u/G/TBTN20/BRA955A3.DOCX", "https://docs.wto.org/imrd/directdoc.asp?DDFDocuments/u/G/TBTN20/BRA955A3.DOCX")</f>
      </c>
      <c r="Q567" s="6">
        <f>HYPERLINK("https://docs.wto.org/imrd/directdoc.asp?DDFDocuments/v/G/TBTN20/BRA955A3.DOCX", "https://docs.wto.org/imrd/directdoc.asp?DDFDocuments/v/G/TBTN20/BRA955A3.DOCX")</f>
      </c>
    </row>
    <row r="568">
      <c r="A568" s="6" t="s">
        <v>34</v>
      </c>
      <c r="B568" s="7">
        <v>45618</v>
      </c>
      <c r="C568" s="9">
        <f>HYPERLINK("https://eping.wto.org/en/Search?viewData= G/SPS/N/TPKM/638"," G/SPS/N/TPKM/638")</f>
      </c>
      <c r="D568" s="8" t="s">
        <v>2274</v>
      </c>
      <c r="E568" s="8" t="s">
        <v>2275</v>
      </c>
      <c r="F568" s="8" t="s">
        <v>2276</v>
      </c>
      <c r="G568" s="8" t="s">
        <v>22</v>
      </c>
      <c r="H568" s="8" t="s">
        <v>22</v>
      </c>
      <c r="I568" s="8" t="s">
        <v>120</v>
      </c>
      <c r="J568" s="8" t="s">
        <v>416</v>
      </c>
      <c r="K568" s="6" t="s">
        <v>22</v>
      </c>
      <c r="L568" s="7">
        <v>45678</v>
      </c>
      <c r="M568" s="6" t="s">
        <v>32</v>
      </c>
      <c r="N568" s="8" t="s">
        <v>2277</v>
      </c>
      <c r="O568" s="6">
        <f>HYPERLINK("https://docs.wto.org/imrd/directdoc.asp?DDFDocuments/t/G/SPS/NTPKM638.DOCX", "https://docs.wto.org/imrd/directdoc.asp?DDFDocuments/t/G/SPS/NTPKM638.DOCX")</f>
      </c>
      <c r="P568" s="6">
        <f>HYPERLINK("https://docs.wto.org/imrd/directdoc.asp?DDFDocuments/u/G/SPS/NTPKM638.DOCX", "https://docs.wto.org/imrd/directdoc.asp?DDFDocuments/u/G/SPS/NTPKM638.DOCX")</f>
      </c>
      <c r="Q568" s="6">
        <f>HYPERLINK("https://docs.wto.org/imrd/directdoc.asp?DDFDocuments/v/G/SPS/NTPKM638.DOCX", "https://docs.wto.org/imrd/directdoc.asp?DDFDocuments/v/G/SPS/NTPKM638.DOCX")</f>
      </c>
    </row>
    <row r="569">
      <c r="A569" s="6" t="s">
        <v>82</v>
      </c>
      <c r="B569" s="7">
        <v>45618</v>
      </c>
      <c r="C569" s="9">
        <f>HYPERLINK("https://eping.wto.org/en/Search?viewData= G/TBT/N/BRA/1544/Add.1"," G/TBT/N/BRA/1544/Add.1")</f>
      </c>
      <c r="D569" s="8" t="s">
        <v>2278</v>
      </c>
      <c r="E569" s="8" t="s">
        <v>2279</v>
      </c>
      <c r="F569" s="8" t="s">
        <v>275</v>
      </c>
      <c r="G569" s="8" t="s">
        <v>22</v>
      </c>
      <c r="H569" s="8" t="s">
        <v>2280</v>
      </c>
      <c r="I569" s="8" t="s">
        <v>39</v>
      </c>
      <c r="J569" s="8" t="s">
        <v>266</v>
      </c>
      <c r="K569" s="6"/>
      <c r="L569" s="7" t="s">
        <v>22</v>
      </c>
      <c r="M569" s="6" t="s">
        <v>40</v>
      </c>
      <c r="N569" s="8" t="s">
        <v>2281</v>
      </c>
      <c r="O569" s="6">
        <f>HYPERLINK("https://docs.wto.org/imrd/directdoc.asp?DDFDocuments/t/G/TBTN24/BRA1544A1.DOCX", "https://docs.wto.org/imrd/directdoc.asp?DDFDocuments/t/G/TBTN24/BRA1544A1.DOCX")</f>
      </c>
      <c r="P569" s="6">
        <f>HYPERLINK("https://docs.wto.org/imrd/directdoc.asp?DDFDocuments/u/G/TBTN24/BRA1544A1.DOCX", "https://docs.wto.org/imrd/directdoc.asp?DDFDocuments/u/G/TBTN24/BRA1544A1.DOCX")</f>
      </c>
      <c r="Q569" s="6">
        <f>HYPERLINK("https://docs.wto.org/imrd/directdoc.asp?DDFDocuments/v/G/TBTN24/BRA1544A1.DOCX", "https://docs.wto.org/imrd/directdoc.asp?DDFDocuments/v/G/TBTN24/BRA1544A1.DOCX")</f>
      </c>
    </row>
    <row r="570">
      <c r="A570" s="6" t="s">
        <v>82</v>
      </c>
      <c r="B570" s="7">
        <v>45618</v>
      </c>
      <c r="C570" s="9">
        <f>HYPERLINK("https://eping.wto.org/en/Search?viewData= G/TBT/N/BRA/1545/Add.1"," G/TBT/N/BRA/1545/Add.1")</f>
      </c>
      <c r="D570" s="8" t="s">
        <v>2282</v>
      </c>
      <c r="E570" s="8" t="s">
        <v>2283</v>
      </c>
      <c r="F570" s="8" t="s">
        <v>275</v>
      </c>
      <c r="G570" s="8" t="s">
        <v>22</v>
      </c>
      <c r="H570" s="8" t="s">
        <v>2280</v>
      </c>
      <c r="I570" s="8" t="s">
        <v>39</v>
      </c>
      <c r="J570" s="8" t="s">
        <v>266</v>
      </c>
      <c r="K570" s="6"/>
      <c r="L570" s="7" t="s">
        <v>22</v>
      </c>
      <c r="M570" s="6" t="s">
        <v>40</v>
      </c>
      <c r="N570" s="8" t="s">
        <v>2284</v>
      </c>
      <c r="O570" s="6">
        <f>HYPERLINK("https://docs.wto.org/imrd/directdoc.asp?DDFDocuments/t/G/TBTN24/BRA1545A1.DOCX", "https://docs.wto.org/imrd/directdoc.asp?DDFDocuments/t/G/TBTN24/BRA1545A1.DOCX")</f>
      </c>
      <c r="P570" s="6">
        <f>HYPERLINK("https://docs.wto.org/imrd/directdoc.asp?DDFDocuments/u/G/TBTN24/BRA1545A1.DOCX", "https://docs.wto.org/imrd/directdoc.asp?DDFDocuments/u/G/TBTN24/BRA1545A1.DOCX")</f>
      </c>
      <c r="Q570" s="6">
        <f>HYPERLINK("https://docs.wto.org/imrd/directdoc.asp?DDFDocuments/v/G/TBTN24/BRA1545A1.DOCX", "https://docs.wto.org/imrd/directdoc.asp?DDFDocuments/v/G/TBTN24/BRA1545A1.DOCX")</f>
      </c>
    </row>
    <row r="571">
      <c r="A571" s="6" t="s">
        <v>132</v>
      </c>
      <c r="B571" s="7">
        <v>45618</v>
      </c>
      <c r="C571" s="9">
        <f>HYPERLINK("https://eping.wto.org/en/Search?viewData= G/SPS/N/CAN/1534/Add.1"," G/SPS/N/CAN/1534/Add.1")</f>
      </c>
      <c r="D571" s="8" t="s">
        <v>2285</v>
      </c>
      <c r="E571" s="8" t="s">
        <v>2286</v>
      </c>
      <c r="F571" s="8" t="s">
        <v>2287</v>
      </c>
      <c r="G571" s="8" t="s">
        <v>22</v>
      </c>
      <c r="H571" s="8" t="s">
        <v>1559</v>
      </c>
      <c r="I571" s="8" t="s">
        <v>120</v>
      </c>
      <c r="J571" s="8" t="s">
        <v>2288</v>
      </c>
      <c r="K571" s="6"/>
      <c r="L571" s="7" t="s">
        <v>22</v>
      </c>
      <c r="M571" s="6" t="s">
        <v>40</v>
      </c>
      <c r="N571" s="6"/>
      <c r="O571" s="6">
        <f>HYPERLINK("https://docs.wto.org/imrd/directdoc.asp?DDFDocuments/t/G/SPS/NCAN1534A1.DOCX", "https://docs.wto.org/imrd/directdoc.asp?DDFDocuments/t/G/SPS/NCAN1534A1.DOCX")</f>
      </c>
      <c r="P571" s="6">
        <f>HYPERLINK("https://docs.wto.org/imrd/directdoc.asp?DDFDocuments/u/G/SPS/NCAN1534A1.DOCX", "https://docs.wto.org/imrd/directdoc.asp?DDFDocuments/u/G/SPS/NCAN1534A1.DOCX")</f>
      </c>
      <c r="Q571" s="6">
        <f>HYPERLINK("https://docs.wto.org/imrd/directdoc.asp?DDFDocuments/v/G/SPS/NCAN1534A1.DOCX", "https://docs.wto.org/imrd/directdoc.asp?DDFDocuments/v/G/SPS/NCAN1534A1.DOCX")</f>
      </c>
    </row>
    <row r="572">
      <c r="A572" s="6" t="s">
        <v>418</v>
      </c>
      <c r="B572" s="7">
        <v>45618</v>
      </c>
      <c r="C572" s="9">
        <f>HYPERLINK("https://eping.wto.org/en/Search?viewData= G/TBT/N/EU/1097"," G/TBT/N/EU/1097")</f>
      </c>
      <c r="D572" s="8" t="s">
        <v>2289</v>
      </c>
      <c r="E572" s="8" t="s">
        <v>2290</v>
      </c>
      <c r="F572" s="8" t="s">
        <v>2291</v>
      </c>
      <c r="G572" s="8" t="s">
        <v>22</v>
      </c>
      <c r="H572" s="8" t="s">
        <v>1725</v>
      </c>
      <c r="I572" s="8" t="s">
        <v>39</v>
      </c>
      <c r="J572" s="8" t="s">
        <v>139</v>
      </c>
      <c r="K572" s="6"/>
      <c r="L572" s="7">
        <v>45678</v>
      </c>
      <c r="M572" s="6" t="s">
        <v>32</v>
      </c>
      <c r="N572" s="8" t="s">
        <v>2292</v>
      </c>
      <c r="O572" s="6">
        <f>HYPERLINK("https://docs.wto.org/imrd/directdoc.asp?DDFDocuments/t/G/TBTN24/EU1097.DOCX", "https://docs.wto.org/imrd/directdoc.asp?DDFDocuments/t/G/TBTN24/EU1097.DOCX")</f>
      </c>
      <c r="P572" s="6">
        <f>HYPERLINK("https://docs.wto.org/imrd/directdoc.asp?DDFDocuments/u/G/TBTN24/EU1097.DOCX", "https://docs.wto.org/imrd/directdoc.asp?DDFDocuments/u/G/TBTN24/EU1097.DOCX")</f>
      </c>
      <c r="Q572" s="6">
        <f>HYPERLINK("https://docs.wto.org/imrd/directdoc.asp?DDFDocuments/v/G/TBTN24/EU1097.DOCX", "https://docs.wto.org/imrd/directdoc.asp?DDFDocuments/v/G/TBTN24/EU1097.DOCX")</f>
      </c>
    </row>
    <row r="573">
      <c r="A573" s="6" t="s">
        <v>132</v>
      </c>
      <c r="B573" s="7">
        <v>45618</v>
      </c>
      <c r="C573" s="9">
        <f>HYPERLINK("https://eping.wto.org/en/Search?viewData= G/TBT/N/CAN/698/Add.1"," G/TBT/N/CAN/698/Add.1")</f>
      </c>
      <c r="D573" s="8" t="s">
        <v>2293</v>
      </c>
      <c r="E573" s="8" t="s">
        <v>2294</v>
      </c>
      <c r="F573" s="8" t="s">
        <v>2295</v>
      </c>
      <c r="G573" s="8" t="s">
        <v>2296</v>
      </c>
      <c r="H573" s="8" t="s">
        <v>2297</v>
      </c>
      <c r="I573" s="8" t="s">
        <v>138</v>
      </c>
      <c r="J573" s="8" t="s">
        <v>761</v>
      </c>
      <c r="K573" s="6"/>
      <c r="L573" s="7" t="s">
        <v>22</v>
      </c>
      <c r="M573" s="6" t="s">
        <v>40</v>
      </c>
      <c r="N573" s="6"/>
      <c r="O573" s="6">
        <f>HYPERLINK("https://docs.wto.org/imrd/directdoc.asp?DDFDocuments/t/G/TBTN23/CAN698A1.DOCX", "https://docs.wto.org/imrd/directdoc.asp?DDFDocuments/t/G/TBTN23/CAN698A1.DOCX")</f>
      </c>
      <c r="P573" s="6">
        <f>HYPERLINK("https://docs.wto.org/imrd/directdoc.asp?DDFDocuments/u/G/TBTN23/CAN698A1.DOCX", "https://docs.wto.org/imrd/directdoc.asp?DDFDocuments/u/G/TBTN23/CAN698A1.DOCX")</f>
      </c>
      <c r="Q573" s="6">
        <f>HYPERLINK("https://docs.wto.org/imrd/directdoc.asp?DDFDocuments/v/G/TBTN23/CAN698A1.DOCX", "https://docs.wto.org/imrd/directdoc.asp?DDFDocuments/v/G/TBTN23/CAN698A1.DOCX")</f>
      </c>
    </row>
    <row r="574">
      <c r="A574" s="6" t="s">
        <v>53</v>
      </c>
      <c r="B574" s="7">
        <v>45618</v>
      </c>
      <c r="C574" s="9">
        <f>HYPERLINK("https://eping.wto.org/en/Search?viewData= G/SPS/N/KEN/317"," G/SPS/N/KEN/317")</f>
      </c>
      <c r="D574" s="8" t="s">
        <v>2298</v>
      </c>
      <c r="E574" s="8" t="s">
        <v>2299</v>
      </c>
      <c r="F574" s="8" t="s">
        <v>2300</v>
      </c>
      <c r="G574" s="8" t="s">
        <v>2301</v>
      </c>
      <c r="H574" s="8" t="s">
        <v>2262</v>
      </c>
      <c r="I574" s="8" t="s">
        <v>120</v>
      </c>
      <c r="J574" s="8" t="s">
        <v>416</v>
      </c>
      <c r="K574" s="6" t="s">
        <v>22</v>
      </c>
      <c r="L574" s="7">
        <v>45678</v>
      </c>
      <c r="M574" s="6" t="s">
        <v>32</v>
      </c>
      <c r="N574" s="8" t="s">
        <v>2302</v>
      </c>
      <c r="O574" s="6">
        <f>HYPERLINK("https://docs.wto.org/imrd/directdoc.asp?DDFDocuments/t/G/SPS/NKEN317.DOCX", "https://docs.wto.org/imrd/directdoc.asp?DDFDocuments/t/G/SPS/NKEN317.DOCX")</f>
      </c>
      <c r="P574" s="6">
        <f>HYPERLINK("https://docs.wto.org/imrd/directdoc.asp?DDFDocuments/u/G/SPS/NKEN317.DOCX", "https://docs.wto.org/imrd/directdoc.asp?DDFDocuments/u/G/SPS/NKEN317.DOCX")</f>
      </c>
      <c r="Q574" s="6">
        <f>HYPERLINK("https://docs.wto.org/imrd/directdoc.asp?DDFDocuments/v/G/SPS/NKEN317.DOCX", "https://docs.wto.org/imrd/directdoc.asp?DDFDocuments/v/G/SPS/NKEN317.DOCX")</f>
      </c>
    </row>
    <row r="575">
      <c r="A575" s="6" t="s">
        <v>152</v>
      </c>
      <c r="B575" s="7">
        <v>45618</v>
      </c>
      <c r="C575" s="9">
        <f>HYPERLINK("https://eping.wto.org/en/Search?viewData= G/TBT/N/PER/167"," G/TBT/N/PER/167")</f>
      </c>
      <c r="D575" s="8" t="s">
        <v>2303</v>
      </c>
      <c r="E575" s="8" t="s">
        <v>2304</v>
      </c>
      <c r="F575" s="8" t="s">
        <v>2305</v>
      </c>
      <c r="G575" s="8" t="s">
        <v>721</v>
      </c>
      <c r="H575" s="8" t="s">
        <v>1169</v>
      </c>
      <c r="I575" s="8" t="s">
        <v>39</v>
      </c>
      <c r="J575" s="8" t="s">
        <v>139</v>
      </c>
      <c r="K575" s="6"/>
      <c r="L575" s="7">
        <v>45678</v>
      </c>
      <c r="M575" s="6" t="s">
        <v>32</v>
      </c>
      <c r="N575" s="8" t="s">
        <v>2306</v>
      </c>
      <c r="O575" s="6">
        <f>HYPERLINK("https://docs.wto.org/imrd/directdoc.asp?DDFDocuments/t/G/TBTN24/PER167.DOCX", "https://docs.wto.org/imrd/directdoc.asp?DDFDocuments/t/G/TBTN24/PER167.DOCX")</f>
      </c>
      <c r="P575" s="6">
        <f>HYPERLINK("https://docs.wto.org/imrd/directdoc.asp?DDFDocuments/u/G/TBTN24/PER167.DOCX", "https://docs.wto.org/imrd/directdoc.asp?DDFDocuments/u/G/TBTN24/PER167.DOCX")</f>
      </c>
      <c r="Q575" s="6">
        <f>HYPERLINK("https://docs.wto.org/imrd/directdoc.asp?DDFDocuments/v/G/TBTN24/PER167.DOCX", "https://docs.wto.org/imrd/directdoc.asp?DDFDocuments/v/G/TBTN24/PER167.DOCX")</f>
      </c>
    </row>
    <row r="576">
      <c r="A576" s="6" t="s">
        <v>2307</v>
      </c>
      <c r="B576" s="7">
        <v>45618</v>
      </c>
      <c r="C576" s="9">
        <f>HYPERLINK("https://eping.wto.org/en/Search?viewData= G/SPS/N/MAR/110"," G/SPS/N/MAR/110")</f>
      </c>
      <c r="D576" s="8" t="s">
        <v>2308</v>
      </c>
      <c r="E576" s="8" t="s">
        <v>2309</v>
      </c>
      <c r="F576" s="8" t="s">
        <v>2310</v>
      </c>
      <c r="G576" s="8" t="s">
        <v>2311</v>
      </c>
      <c r="H576" s="8" t="s">
        <v>22</v>
      </c>
      <c r="I576" s="8" t="s">
        <v>175</v>
      </c>
      <c r="J576" s="8" t="s">
        <v>1129</v>
      </c>
      <c r="K576" s="6" t="s">
        <v>385</v>
      </c>
      <c r="L576" s="7" t="s">
        <v>22</v>
      </c>
      <c r="M576" s="6" t="s">
        <v>331</v>
      </c>
      <c r="N576" s="6"/>
      <c r="O576" s="6">
        <f>HYPERLINK("https://docs.wto.org/imrd/directdoc.asp?DDFDocuments/t/G/SPS/NMAR110.DOCX", "https://docs.wto.org/imrd/directdoc.asp?DDFDocuments/t/G/SPS/NMAR110.DOCX")</f>
      </c>
      <c r="P576" s="6">
        <f>HYPERLINK("https://docs.wto.org/imrd/directdoc.asp?DDFDocuments/u/G/SPS/NMAR110.DOCX", "https://docs.wto.org/imrd/directdoc.asp?DDFDocuments/u/G/SPS/NMAR110.DOCX")</f>
      </c>
      <c r="Q576" s="6">
        <f>HYPERLINK("https://docs.wto.org/imrd/directdoc.asp?DDFDocuments/v/G/SPS/NMAR110.DOCX", "https://docs.wto.org/imrd/directdoc.asp?DDFDocuments/v/G/SPS/NMAR110.DOCX")</f>
      </c>
    </row>
    <row r="577">
      <c r="A577" s="6" t="s">
        <v>1989</v>
      </c>
      <c r="B577" s="7">
        <v>45618</v>
      </c>
      <c r="C577" s="9">
        <f>HYPERLINK("https://eping.wto.org/en/Search?viewData= G/SPS/N/TUR/151"," G/SPS/N/TUR/151")</f>
      </c>
      <c r="D577" s="8" t="s">
        <v>2312</v>
      </c>
      <c r="E577" s="8" t="s">
        <v>2313</v>
      </c>
      <c r="F577" s="8" t="s">
        <v>2314</v>
      </c>
      <c r="G577" s="8" t="s">
        <v>22</v>
      </c>
      <c r="H577" s="8" t="s">
        <v>22</v>
      </c>
      <c r="I577" s="8" t="s">
        <v>120</v>
      </c>
      <c r="J577" s="8" t="s">
        <v>416</v>
      </c>
      <c r="K577" s="6" t="s">
        <v>22</v>
      </c>
      <c r="L577" s="7">
        <v>45678</v>
      </c>
      <c r="M577" s="6" t="s">
        <v>32</v>
      </c>
      <c r="N577" s="8" t="s">
        <v>2315</v>
      </c>
      <c r="O577" s="6">
        <f>HYPERLINK("https://docs.wto.org/imrd/directdoc.asp?DDFDocuments/t/G/SPS/NTUR151.DOCX", "https://docs.wto.org/imrd/directdoc.asp?DDFDocuments/t/G/SPS/NTUR151.DOCX")</f>
      </c>
      <c r="P577" s="6">
        <f>HYPERLINK("https://docs.wto.org/imrd/directdoc.asp?DDFDocuments/u/G/SPS/NTUR151.DOCX", "https://docs.wto.org/imrd/directdoc.asp?DDFDocuments/u/G/SPS/NTUR151.DOCX")</f>
      </c>
      <c r="Q577" s="6">
        <f>HYPERLINK("https://docs.wto.org/imrd/directdoc.asp?DDFDocuments/v/G/SPS/NTUR151.DOCX", "https://docs.wto.org/imrd/directdoc.asp?DDFDocuments/v/G/SPS/NTUR151.DOCX")</f>
      </c>
    </row>
    <row r="578">
      <c r="A578" s="6" t="s">
        <v>400</v>
      </c>
      <c r="B578" s="7">
        <v>45618</v>
      </c>
      <c r="C578" s="9">
        <f>HYPERLINK("https://eping.wto.org/en/Search?viewData= G/TBT/N/USA/2067/Add.2"," G/TBT/N/USA/2067/Add.2")</f>
      </c>
      <c r="D578" s="8" t="s">
        <v>2316</v>
      </c>
      <c r="E578" s="8" t="s">
        <v>2317</v>
      </c>
      <c r="F578" s="8" t="s">
        <v>2318</v>
      </c>
      <c r="G578" s="8" t="s">
        <v>22</v>
      </c>
      <c r="H578" s="8" t="s">
        <v>2319</v>
      </c>
      <c r="I578" s="8" t="s">
        <v>292</v>
      </c>
      <c r="J578" s="8" t="s">
        <v>266</v>
      </c>
      <c r="K578" s="6"/>
      <c r="L578" s="7" t="s">
        <v>22</v>
      </c>
      <c r="M578" s="6" t="s">
        <v>40</v>
      </c>
      <c r="N578" s="6"/>
      <c r="O578" s="6">
        <f>HYPERLINK("https://docs.wto.org/imrd/directdoc.asp?DDFDocuments/t/G/TBTN23/USA2067A2.DOCX", "https://docs.wto.org/imrd/directdoc.asp?DDFDocuments/t/G/TBTN23/USA2067A2.DOCX")</f>
      </c>
      <c r="P578" s="6">
        <f>HYPERLINK("https://docs.wto.org/imrd/directdoc.asp?DDFDocuments/u/G/TBTN23/USA2067A2.DOCX", "https://docs.wto.org/imrd/directdoc.asp?DDFDocuments/u/G/TBTN23/USA2067A2.DOCX")</f>
      </c>
      <c r="Q578" s="6">
        <f>HYPERLINK("https://docs.wto.org/imrd/directdoc.asp?DDFDocuments/v/G/TBTN23/USA2067A2.DOCX", "https://docs.wto.org/imrd/directdoc.asp?DDFDocuments/v/G/TBTN23/USA2067A2.DOCX")</f>
      </c>
    </row>
    <row r="579">
      <c r="A579" s="6" t="s">
        <v>49</v>
      </c>
      <c r="B579" s="7">
        <v>45618</v>
      </c>
      <c r="C579" s="9">
        <f>HYPERLINK("https://eping.wto.org/en/Search?viewData= G/SPS/N/TZA/402"," G/SPS/N/TZA/402")</f>
      </c>
      <c r="D579" s="8" t="s">
        <v>2320</v>
      </c>
      <c r="E579" s="8" t="s">
        <v>2321</v>
      </c>
      <c r="F579" s="8" t="s">
        <v>2322</v>
      </c>
      <c r="G579" s="8" t="s">
        <v>2248</v>
      </c>
      <c r="H579" s="8" t="s">
        <v>2323</v>
      </c>
      <c r="I579" s="8" t="s">
        <v>120</v>
      </c>
      <c r="J579" s="8" t="s">
        <v>416</v>
      </c>
      <c r="K579" s="6" t="s">
        <v>22</v>
      </c>
      <c r="L579" s="7">
        <v>45678</v>
      </c>
      <c r="M579" s="6" t="s">
        <v>32</v>
      </c>
      <c r="N579" s="8" t="s">
        <v>2324</v>
      </c>
      <c r="O579" s="6">
        <f>HYPERLINK("https://docs.wto.org/imrd/directdoc.asp?DDFDocuments/t/G/SPS/NTZA402.DOCX", "https://docs.wto.org/imrd/directdoc.asp?DDFDocuments/t/G/SPS/NTZA402.DOCX")</f>
      </c>
      <c r="P579" s="6">
        <f>HYPERLINK("https://docs.wto.org/imrd/directdoc.asp?DDFDocuments/u/G/SPS/NTZA402.DOCX", "https://docs.wto.org/imrd/directdoc.asp?DDFDocuments/u/G/SPS/NTZA402.DOCX")</f>
      </c>
      <c r="Q579" s="6">
        <f>HYPERLINK("https://docs.wto.org/imrd/directdoc.asp?DDFDocuments/v/G/SPS/NTZA402.DOCX", "https://docs.wto.org/imrd/directdoc.asp?DDFDocuments/v/G/SPS/NTZA402.DOCX")</f>
      </c>
    </row>
    <row r="580">
      <c r="A580" s="6" t="s">
        <v>53</v>
      </c>
      <c r="B580" s="7">
        <v>45618</v>
      </c>
      <c r="C580" s="9">
        <f>HYPERLINK("https://eping.wto.org/en/Search?viewData= G/SPS/N/KEN/315"," G/SPS/N/KEN/315")</f>
      </c>
      <c r="D580" s="8" t="s">
        <v>2325</v>
      </c>
      <c r="E580" s="8" t="s">
        <v>2326</v>
      </c>
      <c r="F580" s="8" t="s">
        <v>2327</v>
      </c>
      <c r="G580" s="8" t="s">
        <v>2328</v>
      </c>
      <c r="H580" s="8" t="s">
        <v>2329</v>
      </c>
      <c r="I580" s="8" t="s">
        <v>120</v>
      </c>
      <c r="J580" s="8" t="s">
        <v>416</v>
      </c>
      <c r="K580" s="6" t="s">
        <v>22</v>
      </c>
      <c r="L580" s="7">
        <v>45678</v>
      </c>
      <c r="M580" s="6" t="s">
        <v>32</v>
      </c>
      <c r="N580" s="8" t="s">
        <v>2330</v>
      </c>
      <c r="O580" s="6">
        <f>HYPERLINK("https://docs.wto.org/imrd/directdoc.asp?DDFDocuments/t/G/SPS/NKEN315.DOCX", "https://docs.wto.org/imrd/directdoc.asp?DDFDocuments/t/G/SPS/NKEN315.DOCX")</f>
      </c>
      <c r="P580" s="6">
        <f>HYPERLINK("https://docs.wto.org/imrd/directdoc.asp?DDFDocuments/u/G/SPS/NKEN315.DOCX", "https://docs.wto.org/imrd/directdoc.asp?DDFDocuments/u/G/SPS/NKEN315.DOCX")</f>
      </c>
      <c r="Q580" s="6">
        <f>HYPERLINK("https://docs.wto.org/imrd/directdoc.asp?DDFDocuments/v/G/SPS/NKEN315.DOCX", "https://docs.wto.org/imrd/directdoc.asp?DDFDocuments/v/G/SPS/NKEN315.DOCX")</f>
      </c>
    </row>
    <row r="581">
      <c r="A581" s="6" t="s">
        <v>53</v>
      </c>
      <c r="B581" s="7">
        <v>45618</v>
      </c>
      <c r="C581" s="9">
        <f>HYPERLINK("https://eping.wto.org/en/Search?viewData= G/SPS/N/KEN/314"," G/SPS/N/KEN/314")</f>
      </c>
      <c r="D581" s="8" t="s">
        <v>2331</v>
      </c>
      <c r="E581" s="8" t="s">
        <v>2332</v>
      </c>
      <c r="F581" s="8" t="s">
        <v>2261</v>
      </c>
      <c r="G581" s="8" t="s">
        <v>904</v>
      </c>
      <c r="H581" s="8" t="s">
        <v>2262</v>
      </c>
      <c r="I581" s="8" t="s">
        <v>120</v>
      </c>
      <c r="J581" s="8" t="s">
        <v>255</v>
      </c>
      <c r="K581" s="6" t="s">
        <v>22</v>
      </c>
      <c r="L581" s="7">
        <v>45678</v>
      </c>
      <c r="M581" s="6" t="s">
        <v>32</v>
      </c>
      <c r="N581" s="8" t="s">
        <v>2333</v>
      </c>
      <c r="O581" s="6">
        <f>HYPERLINK("https://docs.wto.org/imrd/directdoc.asp?DDFDocuments/t/G/SPS/NKEN314.DOCX", "https://docs.wto.org/imrd/directdoc.asp?DDFDocuments/t/G/SPS/NKEN314.DOCX")</f>
      </c>
      <c r="P581" s="6">
        <f>HYPERLINK("https://docs.wto.org/imrd/directdoc.asp?DDFDocuments/u/G/SPS/NKEN314.DOCX", "https://docs.wto.org/imrd/directdoc.asp?DDFDocuments/u/G/SPS/NKEN314.DOCX")</f>
      </c>
      <c r="Q581" s="6">
        <f>HYPERLINK("https://docs.wto.org/imrd/directdoc.asp?DDFDocuments/v/G/SPS/NKEN314.DOCX", "https://docs.wto.org/imrd/directdoc.asp?DDFDocuments/v/G/SPS/NKEN314.DOCX")</f>
      </c>
    </row>
    <row r="582">
      <c r="A582" s="6" t="s">
        <v>343</v>
      </c>
      <c r="B582" s="7">
        <v>45618</v>
      </c>
      <c r="C582" s="9">
        <f>HYPERLINK("https://eping.wto.org/en/Search?viewData= G/TBT/N/THA/737/Add.1"," G/TBT/N/THA/737/Add.1")</f>
      </c>
      <c r="D582" s="8" t="s">
        <v>2334</v>
      </c>
      <c r="E582" s="8" t="s">
        <v>2335</v>
      </c>
      <c r="F582" s="8" t="s">
        <v>2336</v>
      </c>
      <c r="G582" s="8" t="s">
        <v>22</v>
      </c>
      <c r="H582" s="8" t="s">
        <v>2337</v>
      </c>
      <c r="I582" s="8" t="s">
        <v>39</v>
      </c>
      <c r="J582" s="8" t="s">
        <v>22</v>
      </c>
      <c r="K582" s="6"/>
      <c r="L582" s="7" t="s">
        <v>22</v>
      </c>
      <c r="M582" s="6" t="s">
        <v>40</v>
      </c>
      <c r="N582" s="8" t="s">
        <v>2338</v>
      </c>
      <c r="O582" s="6">
        <f>HYPERLINK("https://docs.wto.org/imrd/directdoc.asp?DDFDocuments/t/G/TBTN24/THA737A1.DOCX", "https://docs.wto.org/imrd/directdoc.asp?DDFDocuments/t/G/TBTN24/THA737A1.DOCX")</f>
      </c>
      <c r="P582" s="6">
        <f>HYPERLINK("https://docs.wto.org/imrd/directdoc.asp?DDFDocuments/u/G/TBTN24/THA737A1.DOCX", "https://docs.wto.org/imrd/directdoc.asp?DDFDocuments/u/G/TBTN24/THA737A1.DOCX")</f>
      </c>
      <c r="Q582" s="6">
        <f>HYPERLINK("https://docs.wto.org/imrd/directdoc.asp?DDFDocuments/v/G/TBTN24/THA737A1.DOCX", "https://docs.wto.org/imrd/directdoc.asp?DDFDocuments/v/G/TBTN24/THA737A1.DOCX")</f>
      </c>
    </row>
    <row r="583">
      <c r="A583" s="6" t="s">
        <v>847</v>
      </c>
      <c r="B583" s="7">
        <v>45618</v>
      </c>
      <c r="C583" s="9">
        <f>HYPERLINK("https://eping.wto.org/en/Search?viewData= G/SPS/N/UKR/230"," G/SPS/N/UKR/230")</f>
      </c>
      <c r="D583" s="8" t="s">
        <v>2339</v>
      </c>
      <c r="E583" s="8" t="s">
        <v>2340</v>
      </c>
      <c r="F583" s="8" t="s">
        <v>1385</v>
      </c>
      <c r="G583" s="8" t="s">
        <v>22</v>
      </c>
      <c r="H583" s="8" t="s">
        <v>22</v>
      </c>
      <c r="I583" s="8" t="s">
        <v>2341</v>
      </c>
      <c r="J583" s="8" t="s">
        <v>2342</v>
      </c>
      <c r="K583" s="6" t="s">
        <v>22</v>
      </c>
      <c r="L583" s="7" t="s">
        <v>22</v>
      </c>
      <c r="M583" s="6" t="s">
        <v>32</v>
      </c>
      <c r="N583" s="8" t="s">
        <v>2343</v>
      </c>
      <c r="O583" s="6">
        <f>HYPERLINK("https://docs.wto.org/imrd/directdoc.asp?DDFDocuments/t/G/SPS/NUKR230.DOCX", "https://docs.wto.org/imrd/directdoc.asp?DDFDocuments/t/G/SPS/NUKR230.DOCX")</f>
      </c>
      <c r="P583" s="6">
        <f>HYPERLINK("https://docs.wto.org/imrd/directdoc.asp?DDFDocuments/u/G/SPS/NUKR230.DOCX", "https://docs.wto.org/imrd/directdoc.asp?DDFDocuments/u/G/SPS/NUKR230.DOCX")</f>
      </c>
      <c r="Q583" s="6">
        <f>HYPERLINK("https://docs.wto.org/imrd/directdoc.asp?DDFDocuments/v/G/SPS/NUKR230.DOCX", "https://docs.wto.org/imrd/directdoc.asp?DDFDocuments/v/G/SPS/NUKR230.DOCX")</f>
      </c>
    </row>
    <row r="584">
      <c r="A584" s="6" t="s">
        <v>82</v>
      </c>
      <c r="B584" s="7">
        <v>45618</v>
      </c>
      <c r="C584" s="9">
        <f>HYPERLINK("https://eping.wto.org/en/Search?viewData= G/TBT/N/BRA/1528/Add.1"," G/TBT/N/BRA/1528/Add.1")</f>
      </c>
      <c r="D584" s="8" t="s">
        <v>2344</v>
      </c>
      <c r="E584" s="8" t="s">
        <v>2345</v>
      </c>
      <c r="F584" s="8" t="s">
        <v>2346</v>
      </c>
      <c r="G584" s="8" t="s">
        <v>2347</v>
      </c>
      <c r="H584" s="8" t="s">
        <v>2348</v>
      </c>
      <c r="I584" s="8" t="s">
        <v>39</v>
      </c>
      <c r="J584" s="8" t="s">
        <v>266</v>
      </c>
      <c r="K584" s="6"/>
      <c r="L584" s="7" t="s">
        <v>22</v>
      </c>
      <c r="M584" s="6" t="s">
        <v>40</v>
      </c>
      <c r="N584" s="8" t="s">
        <v>2349</v>
      </c>
      <c r="O584" s="6">
        <f>HYPERLINK("https://docs.wto.org/imrd/directdoc.asp?DDFDocuments/t/G/TBTN24/BRA1528A1.DOCX", "https://docs.wto.org/imrd/directdoc.asp?DDFDocuments/t/G/TBTN24/BRA1528A1.DOCX")</f>
      </c>
      <c r="P584" s="6">
        <f>HYPERLINK("https://docs.wto.org/imrd/directdoc.asp?DDFDocuments/u/G/TBTN24/BRA1528A1.DOCX", "https://docs.wto.org/imrd/directdoc.asp?DDFDocuments/u/G/TBTN24/BRA1528A1.DOCX")</f>
      </c>
      <c r="Q584" s="6">
        <f>HYPERLINK("https://docs.wto.org/imrd/directdoc.asp?DDFDocuments/v/G/TBTN24/BRA1528A1.DOCX", "https://docs.wto.org/imrd/directdoc.asp?DDFDocuments/v/G/TBTN24/BRA1528A1.DOCX")</f>
      </c>
    </row>
    <row r="585">
      <c r="A585" s="6" t="s">
        <v>343</v>
      </c>
      <c r="B585" s="7">
        <v>45618</v>
      </c>
      <c r="C585" s="9">
        <f>HYPERLINK("https://eping.wto.org/en/Search?viewData= G/TBT/N/THA/736/Add.1"," G/TBT/N/THA/736/Add.1")</f>
      </c>
      <c r="D585" s="8" t="s">
        <v>2350</v>
      </c>
      <c r="E585" s="8" t="s">
        <v>2351</v>
      </c>
      <c r="F585" s="8" t="s">
        <v>2352</v>
      </c>
      <c r="G585" s="8" t="s">
        <v>22</v>
      </c>
      <c r="H585" s="8" t="s">
        <v>2337</v>
      </c>
      <c r="I585" s="8" t="s">
        <v>39</v>
      </c>
      <c r="J585" s="8" t="s">
        <v>22</v>
      </c>
      <c r="K585" s="6"/>
      <c r="L585" s="7" t="s">
        <v>22</v>
      </c>
      <c r="M585" s="6" t="s">
        <v>40</v>
      </c>
      <c r="N585" s="8" t="s">
        <v>2353</v>
      </c>
      <c r="O585" s="6">
        <f>HYPERLINK("https://docs.wto.org/imrd/directdoc.asp?DDFDocuments/t/G/TBTN24/THA736A1.DOCX", "https://docs.wto.org/imrd/directdoc.asp?DDFDocuments/t/G/TBTN24/THA736A1.DOCX")</f>
      </c>
      <c r="P585" s="6">
        <f>HYPERLINK("https://docs.wto.org/imrd/directdoc.asp?DDFDocuments/u/G/TBTN24/THA736A1.DOCX", "https://docs.wto.org/imrd/directdoc.asp?DDFDocuments/u/G/TBTN24/THA736A1.DOCX")</f>
      </c>
      <c r="Q585" s="6">
        <f>HYPERLINK("https://docs.wto.org/imrd/directdoc.asp?DDFDocuments/v/G/TBTN24/THA736A1.DOCX", "https://docs.wto.org/imrd/directdoc.asp?DDFDocuments/v/G/TBTN24/THA736A1.DOCX")</f>
      </c>
    </row>
    <row r="586">
      <c r="A586" s="6" t="s">
        <v>343</v>
      </c>
      <c r="B586" s="7">
        <v>45618</v>
      </c>
      <c r="C586" s="9">
        <f>HYPERLINK("https://eping.wto.org/en/Search?viewData= G/TBT/N/THA/747/Add.1"," G/TBT/N/THA/747/Add.1")</f>
      </c>
      <c r="D586" s="8" t="s">
        <v>2354</v>
      </c>
      <c r="E586" s="8" t="s">
        <v>2355</v>
      </c>
      <c r="F586" s="8" t="s">
        <v>2356</v>
      </c>
      <c r="G586" s="8" t="s">
        <v>2357</v>
      </c>
      <c r="H586" s="8" t="s">
        <v>665</v>
      </c>
      <c r="I586" s="8" t="s">
        <v>701</v>
      </c>
      <c r="J586" s="8" t="s">
        <v>2358</v>
      </c>
      <c r="K586" s="6"/>
      <c r="L586" s="7" t="s">
        <v>22</v>
      </c>
      <c r="M586" s="6" t="s">
        <v>40</v>
      </c>
      <c r="N586" s="8" t="s">
        <v>2359</v>
      </c>
      <c r="O586" s="6">
        <f>HYPERLINK("https://docs.wto.org/imrd/directdoc.asp?DDFDocuments/t/G/TBTN24/THA747A1.DOCX", "https://docs.wto.org/imrd/directdoc.asp?DDFDocuments/t/G/TBTN24/THA747A1.DOCX")</f>
      </c>
      <c r="P586" s="6">
        <f>HYPERLINK("https://docs.wto.org/imrd/directdoc.asp?DDFDocuments/u/G/TBTN24/THA747A1.DOCX", "https://docs.wto.org/imrd/directdoc.asp?DDFDocuments/u/G/TBTN24/THA747A1.DOCX")</f>
      </c>
      <c r="Q586" s="6">
        <f>HYPERLINK("https://docs.wto.org/imrd/directdoc.asp?DDFDocuments/v/G/TBTN24/THA747A1.DOCX", "https://docs.wto.org/imrd/directdoc.asp?DDFDocuments/v/G/TBTN24/THA747A1.DOCX")</f>
      </c>
    </row>
    <row r="587">
      <c r="A587" s="6" t="s">
        <v>53</v>
      </c>
      <c r="B587" s="7">
        <v>45618</v>
      </c>
      <c r="C587" s="9">
        <f>HYPERLINK("https://eping.wto.org/en/Search?viewData= G/SPS/N/KEN/313"," G/SPS/N/KEN/313")</f>
      </c>
      <c r="D587" s="8" t="s">
        <v>2360</v>
      </c>
      <c r="E587" s="8" t="s">
        <v>2361</v>
      </c>
      <c r="F587" s="8" t="s">
        <v>2362</v>
      </c>
      <c r="G587" s="8" t="s">
        <v>503</v>
      </c>
      <c r="H587" s="8" t="s">
        <v>2363</v>
      </c>
      <c r="I587" s="8" t="s">
        <v>120</v>
      </c>
      <c r="J587" s="8" t="s">
        <v>416</v>
      </c>
      <c r="K587" s="6" t="s">
        <v>22</v>
      </c>
      <c r="L587" s="7">
        <v>45678</v>
      </c>
      <c r="M587" s="6" t="s">
        <v>32</v>
      </c>
      <c r="N587" s="8" t="s">
        <v>2364</v>
      </c>
      <c r="O587" s="6">
        <f>HYPERLINK("https://docs.wto.org/imrd/directdoc.asp?DDFDocuments/t/G/SPS/NKEN313.DOCX", "https://docs.wto.org/imrd/directdoc.asp?DDFDocuments/t/G/SPS/NKEN313.DOCX")</f>
      </c>
      <c r="P587" s="6">
        <f>HYPERLINK("https://docs.wto.org/imrd/directdoc.asp?DDFDocuments/u/G/SPS/NKEN313.DOCX", "https://docs.wto.org/imrd/directdoc.asp?DDFDocuments/u/G/SPS/NKEN313.DOCX")</f>
      </c>
      <c r="Q587" s="6">
        <f>HYPERLINK("https://docs.wto.org/imrd/directdoc.asp?DDFDocuments/v/G/SPS/NKEN313.DOCX", "https://docs.wto.org/imrd/directdoc.asp?DDFDocuments/v/G/SPS/NKEN313.DOCX")</f>
      </c>
    </row>
    <row r="588">
      <c r="A588" s="6" t="s">
        <v>1989</v>
      </c>
      <c r="B588" s="7">
        <v>45618</v>
      </c>
      <c r="C588" s="9">
        <f>HYPERLINK("https://eping.wto.org/en/Search?viewData= G/TBT/N/TUR/223"," G/TBT/N/TUR/223")</f>
      </c>
      <c r="D588" s="8" t="s">
        <v>2312</v>
      </c>
      <c r="E588" s="8" t="s">
        <v>2313</v>
      </c>
      <c r="F588" s="8" t="s">
        <v>2314</v>
      </c>
      <c r="G588" s="8" t="s">
        <v>22</v>
      </c>
      <c r="H588" s="8" t="s">
        <v>2365</v>
      </c>
      <c r="I588" s="8" t="s">
        <v>39</v>
      </c>
      <c r="J588" s="8" t="s">
        <v>58</v>
      </c>
      <c r="K588" s="6"/>
      <c r="L588" s="7">
        <v>45678</v>
      </c>
      <c r="M588" s="6" t="s">
        <v>32</v>
      </c>
      <c r="N588" s="8" t="s">
        <v>2366</v>
      </c>
      <c r="O588" s="6">
        <f>HYPERLINK("https://docs.wto.org/imrd/directdoc.asp?DDFDocuments/t/G/TBTN24/TUR223.DOCX", "https://docs.wto.org/imrd/directdoc.asp?DDFDocuments/t/G/TBTN24/TUR223.DOCX")</f>
      </c>
      <c r="P588" s="6">
        <f>HYPERLINK("https://docs.wto.org/imrd/directdoc.asp?DDFDocuments/u/G/TBTN24/TUR223.DOCX", "https://docs.wto.org/imrd/directdoc.asp?DDFDocuments/u/G/TBTN24/TUR223.DOCX")</f>
      </c>
      <c r="Q588" s="6">
        <f>HYPERLINK("https://docs.wto.org/imrd/directdoc.asp?DDFDocuments/v/G/TBTN24/TUR223.DOCX", "https://docs.wto.org/imrd/directdoc.asp?DDFDocuments/v/G/TBTN24/TUR223.DOCX")</f>
      </c>
    </row>
    <row r="589">
      <c r="A589" s="6" t="s">
        <v>400</v>
      </c>
      <c r="B589" s="7">
        <v>45617</v>
      </c>
      <c r="C589" s="9">
        <f>HYPERLINK("https://eping.wto.org/en/Search?viewData= G/TBT/N/USA/2161"," G/TBT/N/USA/2161")</f>
      </c>
      <c r="D589" s="8" t="s">
        <v>2367</v>
      </c>
      <c r="E589" s="8" t="s">
        <v>2368</v>
      </c>
      <c r="F589" s="8" t="s">
        <v>2369</v>
      </c>
      <c r="G589" s="8" t="s">
        <v>22</v>
      </c>
      <c r="H589" s="8" t="s">
        <v>2370</v>
      </c>
      <c r="I589" s="8" t="s">
        <v>286</v>
      </c>
      <c r="J589" s="8" t="s">
        <v>22</v>
      </c>
      <c r="K589" s="6"/>
      <c r="L589" s="7">
        <v>45678</v>
      </c>
      <c r="M589" s="6" t="s">
        <v>32</v>
      </c>
      <c r="N589" s="8" t="s">
        <v>2371</v>
      </c>
      <c r="O589" s="6">
        <f>HYPERLINK("https://docs.wto.org/imrd/directdoc.asp?DDFDocuments/t/G/TBTN24/USA2161.DOCX", "https://docs.wto.org/imrd/directdoc.asp?DDFDocuments/t/G/TBTN24/USA2161.DOCX")</f>
      </c>
      <c r="P589" s="6">
        <f>HYPERLINK("https://docs.wto.org/imrd/directdoc.asp?DDFDocuments/u/G/TBTN24/USA2161.DOCX", "https://docs.wto.org/imrd/directdoc.asp?DDFDocuments/u/G/TBTN24/USA2161.DOCX")</f>
      </c>
      <c r="Q589" s="6">
        <f>HYPERLINK("https://docs.wto.org/imrd/directdoc.asp?DDFDocuments/v/G/TBTN24/USA2161.DOCX", "https://docs.wto.org/imrd/directdoc.asp?DDFDocuments/v/G/TBTN24/USA2161.DOCX")</f>
      </c>
    </row>
    <row r="590">
      <c r="A590" s="6" t="s">
        <v>360</v>
      </c>
      <c r="B590" s="7">
        <v>45617</v>
      </c>
      <c r="C590" s="9">
        <f>HYPERLINK("https://eping.wto.org/en/Search?viewData= G/SPS/N/CHL/808/Add.1"," G/SPS/N/CHL/808/Add.1")</f>
      </c>
      <c r="D590" s="8" t="s">
        <v>2372</v>
      </c>
      <c r="E590" s="8" t="s">
        <v>2372</v>
      </c>
      <c r="F590" s="8" t="s">
        <v>2373</v>
      </c>
      <c r="G590" s="8" t="s">
        <v>2374</v>
      </c>
      <c r="H590" s="8" t="s">
        <v>22</v>
      </c>
      <c r="I590" s="8" t="s">
        <v>128</v>
      </c>
      <c r="J590" s="8" t="s">
        <v>2375</v>
      </c>
      <c r="K590" s="6"/>
      <c r="L590" s="7">
        <v>45678</v>
      </c>
      <c r="M590" s="6" t="s">
        <v>40</v>
      </c>
      <c r="N590" s="6"/>
      <c r="O590" s="6">
        <f>HYPERLINK("https://docs.wto.org/imrd/directdoc.asp?DDFDocuments/t/G/SPS/NCHL808A1.DOCX", "https://docs.wto.org/imrd/directdoc.asp?DDFDocuments/t/G/SPS/NCHL808A1.DOCX")</f>
      </c>
      <c r="P590" s="6">
        <f>HYPERLINK("https://docs.wto.org/imrd/directdoc.asp?DDFDocuments/u/G/SPS/NCHL808A1.DOCX", "https://docs.wto.org/imrd/directdoc.asp?DDFDocuments/u/G/SPS/NCHL808A1.DOCX")</f>
      </c>
      <c r="Q590" s="6">
        <f>HYPERLINK("https://docs.wto.org/imrd/directdoc.asp?DDFDocuments/v/G/SPS/NCHL808A1.DOCX", "https://docs.wto.org/imrd/directdoc.asp?DDFDocuments/v/G/SPS/NCHL808A1.DOCX")</f>
      </c>
    </row>
    <row r="591">
      <c r="A591" s="6" t="s">
        <v>400</v>
      </c>
      <c r="B591" s="7">
        <v>45617</v>
      </c>
      <c r="C591" s="9">
        <f>HYPERLINK("https://eping.wto.org/en/Search?viewData= G/TBT/N/USA/810/Add.3"," G/TBT/N/USA/810/Add.3")</f>
      </c>
      <c r="D591" s="8" t="s">
        <v>2376</v>
      </c>
      <c r="E591" s="8" t="s">
        <v>2377</v>
      </c>
      <c r="F591" s="8" t="s">
        <v>2378</v>
      </c>
      <c r="G591" s="8" t="s">
        <v>2379</v>
      </c>
      <c r="H591" s="8" t="s">
        <v>1940</v>
      </c>
      <c r="I591" s="8" t="s">
        <v>39</v>
      </c>
      <c r="J591" s="8" t="s">
        <v>22</v>
      </c>
      <c r="K591" s="6"/>
      <c r="L591" s="7">
        <v>45646</v>
      </c>
      <c r="M591" s="6" t="s">
        <v>40</v>
      </c>
      <c r="N591" s="8" t="s">
        <v>2380</v>
      </c>
      <c r="O591" s="6">
        <f>HYPERLINK("https://docs.wto.org/imrd/directdoc.asp?DDFDocuments/t/G/TBTN13/USA810A3.DOCX", "https://docs.wto.org/imrd/directdoc.asp?DDFDocuments/t/G/TBTN13/USA810A3.DOCX")</f>
      </c>
      <c r="P591" s="6">
        <f>HYPERLINK("https://docs.wto.org/imrd/directdoc.asp?DDFDocuments/u/G/TBTN13/USA810A3.DOCX", "https://docs.wto.org/imrd/directdoc.asp?DDFDocuments/u/G/TBTN13/USA810A3.DOCX")</f>
      </c>
      <c r="Q591" s="6">
        <f>HYPERLINK("https://docs.wto.org/imrd/directdoc.asp?DDFDocuments/v/G/TBTN13/USA810A3.DOCX", "https://docs.wto.org/imrd/directdoc.asp?DDFDocuments/v/G/TBTN13/USA810A3.DOCX")</f>
      </c>
    </row>
    <row r="592">
      <c r="A592" s="6" t="s">
        <v>400</v>
      </c>
      <c r="B592" s="7">
        <v>45617</v>
      </c>
      <c r="C592" s="9">
        <f>HYPERLINK("https://eping.wto.org/en/Search?viewData= G/TBT/N/USA/2152/Add.1"," G/TBT/N/USA/2152/Add.1")</f>
      </c>
      <c r="D592" s="8" t="s">
        <v>2381</v>
      </c>
      <c r="E592" s="8" t="s">
        <v>2382</v>
      </c>
      <c r="F592" s="8" t="s">
        <v>2383</v>
      </c>
      <c r="G592" s="8" t="s">
        <v>22</v>
      </c>
      <c r="H592" s="8" t="s">
        <v>635</v>
      </c>
      <c r="I592" s="8" t="s">
        <v>292</v>
      </c>
      <c r="J592" s="8" t="s">
        <v>22</v>
      </c>
      <c r="K592" s="6"/>
      <c r="L592" s="7">
        <v>45656</v>
      </c>
      <c r="M592" s="6" t="s">
        <v>40</v>
      </c>
      <c r="N592" s="6"/>
      <c r="O592" s="6">
        <f>HYPERLINK("https://docs.wto.org/imrd/directdoc.asp?DDFDocuments/t/G/TBTN24/USA2152A1.DOCX", "https://docs.wto.org/imrd/directdoc.asp?DDFDocuments/t/G/TBTN24/USA2152A1.DOCX")</f>
      </c>
      <c r="P592" s="6">
        <f>HYPERLINK("https://docs.wto.org/imrd/directdoc.asp?DDFDocuments/u/G/TBTN24/USA2152A1.DOCX", "https://docs.wto.org/imrd/directdoc.asp?DDFDocuments/u/G/TBTN24/USA2152A1.DOCX")</f>
      </c>
      <c r="Q592" s="6">
        <f>HYPERLINK("https://docs.wto.org/imrd/directdoc.asp?DDFDocuments/v/G/TBTN24/USA2152A1.DOCX", "https://docs.wto.org/imrd/directdoc.asp?DDFDocuments/v/G/TBTN24/USA2152A1.DOCX")</f>
      </c>
    </row>
    <row r="593">
      <c r="A593" s="6" t="s">
        <v>472</v>
      </c>
      <c r="B593" s="7">
        <v>45617</v>
      </c>
      <c r="C593" s="9">
        <f>HYPERLINK("https://eping.wto.org/en/Search?viewData= G/TBT/N/JPN/824/Add.1"," G/TBT/N/JPN/824/Add.1")</f>
      </c>
      <c r="D593" s="8" t="s">
        <v>2384</v>
      </c>
      <c r="E593" s="8" t="s">
        <v>2385</v>
      </c>
      <c r="F593" s="8" t="s">
        <v>2386</v>
      </c>
      <c r="G593" s="8" t="s">
        <v>2387</v>
      </c>
      <c r="H593" s="8" t="s">
        <v>2388</v>
      </c>
      <c r="I593" s="8" t="s">
        <v>39</v>
      </c>
      <c r="J593" s="8" t="s">
        <v>22</v>
      </c>
      <c r="K593" s="6"/>
      <c r="L593" s="7" t="s">
        <v>22</v>
      </c>
      <c r="M593" s="6" t="s">
        <v>40</v>
      </c>
      <c r="N593" s="8" t="s">
        <v>2389</v>
      </c>
      <c r="O593" s="6">
        <f>HYPERLINK("https://docs.wto.org/imrd/directdoc.asp?DDFDocuments/t/G/TBTN24/JPN824A1.DOCX", "https://docs.wto.org/imrd/directdoc.asp?DDFDocuments/t/G/TBTN24/JPN824A1.DOCX")</f>
      </c>
      <c r="P593" s="6">
        <f>HYPERLINK("https://docs.wto.org/imrd/directdoc.asp?DDFDocuments/u/G/TBTN24/JPN824A1.DOCX", "https://docs.wto.org/imrd/directdoc.asp?DDFDocuments/u/G/TBTN24/JPN824A1.DOCX")</f>
      </c>
      <c r="Q593" s="6">
        <f>HYPERLINK("https://docs.wto.org/imrd/directdoc.asp?DDFDocuments/v/G/TBTN24/JPN824A1.DOCX", "https://docs.wto.org/imrd/directdoc.asp?DDFDocuments/v/G/TBTN24/JPN824A1.DOCX")</f>
      </c>
    </row>
    <row r="594">
      <c r="A594" s="6" t="s">
        <v>374</v>
      </c>
      <c r="B594" s="7">
        <v>45617</v>
      </c>
      <c r="C594" s="9">
        <f>HYPERLINK("https://eping.wto.org/en/Search?viewData= G/SPS/N/CRI/284/Add.1"," G/SPS/N/CRI/284/Add.1")</f>
      </c>
      <c r="D594" s="8" t="s">
        <v>2390</v>
      </c>
      <c r="E594" s="8" t="s">
        <v>2390</v>
      </c>
      <c r="F594" s="8" t="s">
        <v>2391</v>
      </c>
      <c r="G594" s="8" t="s">
        <v>21</v>
      </c>
      <c r="H594" s="8" t="s">
        <v>22</v>
      </c>
      <c r="I594" s="8" t="s">
        <v>390</v>
      </c>
      <c r="J594" s="8" t="s">
        <v>1745</v>
      </c>
      <c r="K594" s="6"/>
      <c r="L594" s="7" t="s">
        <v>22</v>
      </c>
      <c r="M594" s="6" t="s">
        <v>40</v>
      </c>
      <c r="N594" s="8" t="s">
        <v>2392</v>
      </c>
      <c r="O594" s="6">
        <f>HYPERLINK("https://docs.wto.org/imrd/directdoc.asp?DDFDocuments/t/G/SPS/NCRI284A1.DOCX", "https://docs.wto.org/imrd/directdoc.asp?DDFDocuments/t/G/SPS/NCRI284A1.DOCX")</f>
      </c>
      <c r="P594" s="6">
        <f>HYPERLINK("https://docs.wto.org/imrd/directdoc.asp?DDFDocuments/u/G/SPS/NCRI284A1.DOCX", "https://docs.wto.org/imrd/directdoc.asp?DDFDocuments/u/G/SPS/NCRI284A1.DOCX")</f>
      </c>
      <c r="Q594" s="6">
        <f>HYPERLINK("https://docs.wto.org/imrd/directdoc.asp?DDFDocuments/v/G/SPS/NCRI284A1.DOCX", "https://docs.wto.org/imrd/directdoc.asp?DDFDocuments/v/G/SPS/NCRI284A1.DOCX")</f>
      </c>
    </row>
    <row r="595">
      <c r="A595" s="6" t="s">
        <v>2307</v>
      </c>
      <c r="B595" s="7">
        <v>45617</v>
      </c>
      <c r="C595" s="9">
        <f>HYPERLINK("https://eping.wto.org/en/Search?viewData= G/TBT/N/MAR/39"," G/TBT/N/MAR/39")</f>
      </c>
      <c r="D595" s="8" t="s">
        <v>2393</v>
      </c>
      <c r="E595" s="8" t="s">
        <v>2394</v>
      </c>
      <c r="F595" s="8" t="s">
        <v>2395</v>
      </c>
      <c r="G595" s="8" t="s">
        <v>22</v>
      </c>
      <c r="H595" s="8" t="s">
        <v>22</v>
      </c>
      <c r="I595" s="8" t="s">
        <v>39</v>
      </c>
      <c r="J595" s="8" t="s">
        <v>22</v>
      </c>
      <c r="K595" s="6"/>
      <c r="L595" s="7">
        <v>45645</v>
      </c>
      <c r="M595" s="6" t="s">
        <v>32</v>
      </c>
      <c r="N595" s="8" t="s">
        <v>2396</v>
      </c>
      <c r="O595" s="6">
        <f>HYPERLINK("https://docs.wto.org/imrd/directdoc.asp?DDFDocuments/t/G/TBTN24/MAR39.DOCX", "https://docs.wto.org/imrd/directdoc.asp?DDFDocuments/t/G/TBTN24/MAR39.DOCX")</f>
      </c>
      <c r="P595" s="6">
        <f>HYPERLINK("https://docs.wto.org/imrd/directdoc.asp?DDFDocuments/u/G/TBTN24/MAR39.DOCX", "https://docs.wto.org/imrd/directdoc.asp?DDFDocuments/u/G/TBTN24/MAR39.DOCX")</f>
      </c>
      <c r="Q595" s="6">
        <f>HYPERLINK("https://docs.wto.org/imrd/directdoc.asp?DDFDocuments/v/G/TBTN24/MAR39.DOCX", "https://docs.wto.org/imrd/directdoc.asp?DDFDocuments/v/G/TBTN24/MAR39.DOCX")</f>
      </c>
    </row>
    <row r="596">
      <c r="A596" s="6" t="s">
        <v>847</v>
      </c>
      <c r="B596" s="7">
        <v>45617</v>
      </c>
      <c r="C596" s="9">
        <f>HYPERLINK("https://eping.wto.org/en/Search?viewData= G/TBT/N/UKR/321"," G/TBT/N/UKR/321")</f>
      </c>
      <c r="D596" s="8" t="s">
        <v>2397</v>
      </c>
      <c r="E596" s="8" t="s">
        <v>2398</v>
      </c>
      <c r="F596" s="8" t="s">
        <v>2399</v>
      </c>
      <c r="G596" s="8" t="s">
        <v>22</v>
      </c>
      <c r="H596" s="8" t="s">
        <v>2400</v>
      </c>
      <c r="I596" s="8" t="s">
        <v>138</v>
      </c>
      <c r="J596" s="8" t="s">
        <v>22</v>
      </c>
      <c r="K596" s="6"/>
      <c r="L596" s="7">
        <v>45677</v>
      </c>
      <c r="M596" s="6" t="s">
        <v>32</v>
      </c>
      <c r="N596" s="8" t="s">
        <v>2401</v>
      </c>
      <c r="O596" s="6">
        <f>HYPERLINK("https://docs.wto.org/imrd/directdoc.asp?DDFDocuments/t/G/TBTN24/UKR321.DOCX", "https://docs.wto.org/imrd/directdoc.asp?DDFDocuments/t/G/TBTN24/UKR321.DOCX")</f>
      </c>
      <c r="P596" s="6">
        <f>HYPERLINK("https://docs.wto.org/imrd/directdoc.asp?DDFDocuments/u/G/TBTN24/UKR321.DOCX", "https://docs.wto.org/imrd/directdoc.asp?DDFDocuments/u/G/TBTN24/UKR321.DOCX")</f>
      </c>
      <c r="Q596" s="6">
        <f>HYPERLINK("https://docs.wto.org/imrd/directdoc.asp?DDFDocuments/v/G/TBTN24/UKR321.DOCX", "https://docs.wto.org/imrd/directdoc.asp?DDFDocuments/v/G/TBTN24/UKR321.DOCX")</f>
      </c>
    </row>
    <row r="597">
      <c r="A597" s="6" t="s">
        <v>2251</v>
      </c>
      <c r="B597" s="7">
        <v>45617</v>
      </c>
      <c r="C597" s="9">
        <f>HYPERLINK("https://eping.wto.org/en/Search?viewData= G/TBT/N/MOZ/29"," G/TBT/N/MOZ/29")</f>
      </c>
      <c r="D597" s="8" t="s">
        <v>2402</v>
      </c>
      <c r="E597" s="8" t="s">
        <v>2403</v>
      </c>
      <c r="F597" s="8" t="s">
        <v>2404</v>
      </c>
      <c r="G597" s="8" t="s">
        <v>22</v>
      </c>
      <c r="H597" s="8" t="s">
        <v>22</v>
      </c>
      <c r="I597" s="8" t="s">
        <v>286</v>
      </c>
      <c r="J597" s="8" t="s">
        <v>22</v>
      </c>
      <c r="K597" s="6"/>
      <c r="L597" s="7">
        <v>45677</v>
      </c>
      <c r="M597" s="6" t="s">
        <v>32</v>
      </c>
      <c r="N597" s="8" t="s">
        <v>2405</v>
      </c>
      <c r="O597" s="6">
        <f>HYPERLINK("https://docs.wto.org/imrd/directdoc.asp?DDFDocuments/t/G/TBTN24/MOZ29.DOCX", "https://docs.wto.org/imrd/directdoc.asp?DDFDocuments/t/G/TBTN24/MOZ29.DOCX")</f>
      </c>
      <c r="P597" s="6">
        <f>HYPERLINK("https://docs.wto.org/imrd/directdoc.asp?DDFDocuments/u/G/TBTN24/MOZ29.DOCX", "https://docs.wto.org/imrd/directdoc.asp?DDFDocuments/u/G/TBTN24/MOZ29.DOCX")</f>
      </c>
      <c r="Q597" s="6">
        <f>HYPERLINK("https://docs.wto.org/imrd/directdoc.asp?DDFDocuments/v/G/TBTN24/MOZ29.DOCX", "https://docs.wto.org/imrd/directdoc.asp?DDFDocuments/v/G/TBTN24/MOZ29.DOCX")</f>
      </c>
    </row>
    <row r="598">
      <c r="A598" s="6" t="s">
        <v>418</v>
      </c>
      <c r="B598" s="7">
        <v>45617</v>
      </c>
      <c r="C598" s="9">
        <f>HYPERLINK("https://eping.wto.org/en/Search?viewData= G/TBT/N/EU/1096"," G/TBT/N/EU/1096")</f>
      </c>
      <c r="D598" s="8" t="s">
        <v>2406</v>
      </c>
      <c r="E598" s="8" t="s">
        <v>2407</v>
      </c>
      <c r="F598" s="8" t="s">
        <v>1724</v>
      </c>
      <c r="G598" s="8" t="s">
        <v>2408</v>
      </c>
      <c r="H598" s="8" t="s">
        <v>1725</v>
      </c>
      <c r="I598" s="8" t="s">
        <v>2409</v>
      </c>
      <c r="J598" s="8" t="s">
        <v>22</v>
      </c>
      <c r="K598" s="6"/>
      <c r="L598" s="7">
        <v>45677</v>
      </c>
      <c r="M598" s="6" t="s">
        <v>32</v>
      </c>
      <c r="N598" s="8" t="s">
        <v>2410</v>
      </c>
      <c r="O598" s="6">
        <f>HYPERLINK("https://docs.wto.org/imrd/directdoc.asp?DDFDocuments/t/G/TBTN24/EU1096.DOCX", "https://docs.wto.org/imrd/directdoc.asp?DDFDocuments/t/G/TBTN24/EU1096.DOCX")</f>
      </c>
      <c r="P598" s="6"/>
      <c r="Q598" s="6"/>
    </row>
    <row r="599">
      <c r="A599" s="6" t="s">
        <v>132</v>
      </c>
      <c r="B599" s="7">
        <v>45617</v>
      </c>
      <c r="C599" s="9">
        <f>HYPERLINK("https://eping.wto.org/en/Search?viewData= G/TBT/N/CAN/724/Add.1"," G/TBT/N/CAN/724/Add.1")</f>
      </c>
      <c r="D599" s="8" t="s">
        <v>2411</v>
      </c>
      <c r="E599" s="8" t="s">
        <v>2412</v>
      </c>
      <c r="F599" s="8" t="s">
        <v>2413</v>
      </c>
      <c r="G599" s="8" t="s">
        <v>22</v>
      </c>
      <c r="H599" s="8" t="s">
        <v>2414</v>
      </c>
      <c r="I599" s="8" t="s">
        <v>138</v>
      </c>
      <c r="J599" s="8" t="s">
        <v>81</v>
      </c>
      <c r="K599" s="6"/>
      <c r="L599" s="7" t="s">
        <v>22</v>
      </c>
      <c r="M599" s="6" t="s">
        <v>40</v>
      </c>
      <c r="N599" s="6"/>
      <c r="O599" s="6">
        <f>HYPERLINK("https://docs.wto.org/imrd/directdoc.asp?DDFDocuments/t/G/TBTN24/CAN724A1.DOCX", "https://docs.wto.org/imrd/directdoc.asp?DDFDocuments/t/G/TBTN24/CAN724A1.DOCX")</f>
      </c>
      <c r="P599" s="6">
        <f>HYPERLINK("https://docs.wto.org/imrd/directdoc.asp?DDFDocuments/u/G/TBTN24/CAN724A1.DOCX", "https://docs.wto.org/imrd/directdoc.asp?DDFDocuments/u/G/TBTN24/CAN724A1.DOCX")</f>
      </c>
      <c r="Q599" s="6">
        <f>HYPERLINK("https://docs.wto.org/imrd/directdoc.asp?DDFDocuments/v/G/TBTN24/CAN724A1.DOCX", "https://docs.wto.org/imrd/directdoc.asp?DDFDocuments/v/G/TBTN24/CAN724A1.DOCX")</f>
      </c>
    </row>
    <row r="600">
      <c r="A600" s="6" t="s">
        <v>299</v>
      </c>
      <c r="B600" s="7">
        <v>45617</v>
      </c>
      <c r="C600" s="9">
        <f>HYPERLINK("https://eping.wto.org/en/Search?viewData= G/TBT/N/NZL/135/Add.1"," G/TBT/N/NZL/135/Add.1")</f>
      </c>
      <c r="D600" s="8" t="s">
        <v>2415</v>
      </c>
      <c r="E600" s="8" t="s">
        <v>2416</v>
      </c>
      <c r="F600" s="8" t="s">
        <v>2417</v>
      </c>
      <c r="G600" s="8" t="s">
        <v>22</v>
      </c>
      <c r="H600" s="8" t="s">
        <v>2073</v>
      </c>
      <c r="I600" s="8" t="s">
        <v>138</v>
      </c>
      <c r="J600" s="8" t="s">
        <v>22</v>
      </c>
      <c r="K600" s="6"/>
      <c r="L600" s="7">
        <v>45747</v>
      </c>
      <c r="M600" s="6" t="s">
        <v>40</v>
      </c>
      <c r="N600" s="8" t="s">
        <v>2418</v>
      </c>
      <c r="O600" s="6">
        <f>HYPERLINK("https://docs.wto.org/imrd/directdoc.asp?DDFDocuments/t/G/TBTN24/NZL135A1.DOCX", "https://docs.wto.org/imrd/directdoc.asp?DDFDocuments/t/G/TBTN24/NZL135A1.DOCX")</f>
      </c>
      <c r="P600" s="6">
        <f>HYPERLINK("https://docs.wto.org/imrd/directdoc.asp?DDFDocuments/u/G/TBTN24/NZL135A1.DOCX", "https://docs.wto.org/imrd/directdoc.asp?DDFDocuments/u/G/TBTN24/NZL135A1.DOCX")</f>
      </c>
      <c r="Q600" s="6">
        <f>HYPERLINK("https://docs.wto.org/imrd/directdoc.asp?DDFDocuments/v/G/TBTN24/NZL135A1.DOCX", "https://docs.wto.org/imrd/directdoc.asp?DDFDocuments/v/G/TBTN24/NZL135A1.DOCX")</f>
      </c>
    </row>
    <row r="601">
      <c r="A601" s="6" t="s">
        <v>42</v>
      </c>
      <c r="B601" s="7">
        <v>45617</v>
      </c>
      <c r="C601" s="9">
        <f>HYPERLINK("https://eping.wto.org/en/Search?viewData= G/TBT/N/VNM/331"," G/TBT/N/VNM/331")</f>
      </c>
      <c r="D601" s="8" t="s">
        <v>2419</v>
      </c>
      <c r="E601" s="8" t="s">
        <v>2420</v>
      </c>
      <c r="F601" s="8" t="s">
        <v>2421</v>
      </c>
      <c r="G601" s="8" t="s">
        <v>22</v>
      </c>
      <c r="H601" s="8" t="s">
        <v>1169</v>
      </c>
      <c r="I601" s="8" t="s">
        <v>2422</v>
      </c>
      <c r="J601" s="8" t="s">
        <v>139</v>
      </c>
      <c r="K601" s="6"/>
      <c r="L601" s="7">
        <v>45677</v>
      </c>
      <c r="M601" s="6" t="s">
        <v>32</v>
      </c>
      <c r="N601" s="8" t="s">
        <v>2423</v>
      </c>
      <c r="O601" s="6">
        <f>HYPERLINK("https://docs.wto.org/imrd/directdoc.asp?DDFDocuments/t/G/TBTN24/VNM331.DOCX", "https://docs.wto.org/imrd/directdoc.asp?DDFDocuments/t/G/TBTN24/VNM331.DOCX")</f>
      </c>
      <c r="P601" s="6">
        <f>HYPERLINK("https://docs.wto.org/imrd/directdoc.asp?DDFDocuments/u/G/TBTN24/VNM331.DOCX", "https://docs.wto.org/imrd/directdoc.asp?DDFDocuments/u/G/TBTN24/VNM331.DOCX")</f>
      </c>
      <c r="Q601" s="6">
        <f>HYPERLINK("https://docs.wto.org/imrd/directdoc.asp?DDFDocuments/v/G/TBTN24/VNM331.DOCX", "https://docs.wto.org/imrd/directdoc.asp?DDFDocuments/v/G/TBTN24/VNM331.DOCX")</f>
      </c>
    </row>
    <row r="602">
      <c r="A602" s="6" t="s">
        <v>2424</v>
      </c>
      <c r="B602" s="7">
        <v>45617</v>
      </c>
      <c r="C602" s="9">
        <f>HYPERLINK("https://eping.wto.org/en/Search?viewData= G/TBT/N/CHE/258/Add.2"," G/TBT/N/CHE/258/Add.2")</f>
      </c>
      <c r="D602" s="8" t="s">
        <v>2425</v>
      </c>
      <c r="E602" s="8" t="s">
        <v>2426</v>
      </c>
      <c r="F602" s="8" t="s">
        <v>2427</v>
      </c>
      <c r="G602" s="8" t="s">
        <v>22</v>
      </c>
      <c r="H602" s="8" t="s">
        <v>2428</v>
      </c>
      <c r="I602" s="8" t="s">
        <v>2429</v>
      </c>
      <c r="J602" s="8" t="s">
        <v>266</v>
      </c>
      <c r="K602" s="6"/>
      <c r="L602" s="7" t="s">
        <v>22</v>
      </c>
      <c r="M602" s="6" t="s">
        <v>40</v>
      </c>
      <c r="N602" s="8" t="s">
        <v>2430</v>
      </c>
      <c r="O602" s="6">
        <f>HYPERLINK("https://docs.wto.org/imrd/directdoc.asp?DDFDocuments/t/G/TBTN21/CHE258A2.DOCX", "https://docs.wto.org/imrd/directdoc.asp?DDFDocuments/t/G/TBTN21/CHE258A2.DOCX")</f>
      </c>
      <c r="P602" s="6">
        <f>HYPERLINK("https://docs.wto.org/imrd/directdoc.asp?DDFDocuments/u/G/TBTN21/CHE258A2.DOCX", "https://docs.wto.org/imrd/directdoc.asp?DDFDocuments/u/G/TBTN21/CHE258A2.DOCX")</f>
      </c>
      <c r="Q602" s="6">
        <f>HYPERLINK("https://docs.wto.org/imrd/directdoc.asp?DDFDocuments/v/G/TBTN21/CHE258A2.DOCX", "https://docs.wto.org/imrd/directdoc.asp?DDFDocuments/v/G/TBTN21/CHE258A2.DOCX")</f>
      </c>
    </row>
    <row r="603">
      <c r="A603" s="6" t="s">
        <v>2307</v>
      </c>
      <c r="B603" s="7">
        <v>45617</v>
      </c>
      <c r="C603" s="9">
        <f>HYPERLINK("https://eping.wto.org/en/Search?viewData= G/TBT/N/MAR/40"," G/TBT/N/MAR/40")</f>
      </c>
      <c r="D603" s="8" t="s">
        <v>2431</v>
      </c>
      <c r="E603" s="8" t="s">
        <v>2432</v>
      </c>
      <c r="F603" s="8" t="s">
        <v>2433</v>
      </c>
      <c r="G603" s="8" t="s">
        <v>2434</v>
      </c>
      <c r="H603" s="8" t="s">
        <v>2435</v>
      </c>
      <c r="I603" s="8" t="s">
        <v>203</v>
      </c>
      <c r="J603" s="8" t="s">
        <v>22</v>
      </c>
      <c r="K603" s="6"/>
      <c r="L603" s="7">
        <v>45646</v>
      </c>
      <c r="M603" s="6" t="s">
        <v>32</v>
      </c>
      <c r="N603" s="8" t="s">
        <v>2396</v>
      </c>
      <c r="O603" s="6">
        <f>HYPERLINK("https://docs.wto.org/imrd/directdoc.asp?DDFDocuments/t/G/TBTN24/MAR40.DOCX", "https://docs.wto.org/imrd/directdoc.asp?DDFDocuments/t/G/TBTN24/MAR40.DOCX")</f>
      </c>
      <c r="P603" s="6">
        <f>HYPERLINK("https://docs.wto.org/imrd/directdoc.asp?DDFDocuments/u/G/TBTN24/MAR40.DOCX", "https://docs.wto.org/imrd/directdoc.asp?DDFDocuments/u/G/TBTN24/MAR40.DOCX")</f>
      </c>
      <c r="Q603" s="6">
        <f>HYPERLINK("https://docs.wto.org/imrd/directdoc.asp?DDFDocuments/v/G/TBTN24/MAR40.DOCX", "https://docs.wto.org/imrd/directdoc.asp?DDFDocuments/v/G/TBTN24/MAR40.DOCX")</f>
      </c>
    </row>
    <row r="604">
      <c r="A604" s="6" t="s">
        <v>374</v>
      </c>
      <c r="B604" s="7">
        <v>45617</v>
      </c>
      <c r="C604" s="9">
        <f>HYPERLINK("https://eping.wto.org/en/Search?viewData= G/SPS/N/CRI/285/Add.1"," G/SPS/N/CRI/285/Add.1")</f>
      </c>
      <c r="D604" s="8" t="s">
        <v>2436</v>
      </c>
      <c r="E604" s="8" t="s">
        <v>2436</v>
      </c>
      <c r="F604" s="8" t="s">
        <v>2437</v>
      </c>
      <c r="G604" s="8" t="s">
        <v>1769</v>
      </c>
      <c r="H604" s="8" t="s">
        <v>22</v>
      </c>
      <c r="I604" s="8" t="s">
        <v>390</v>
      </c>
      <c r="J604" s="8" t="s">
        <v>2438</v>
      </c>
      <c r="K604" s="6"/>
      <c r="L604" s="7" t="s">
        <v>22</v>
      </c>
      <c r="M604" s="6" t="s">
        <v>40</v>
      </c>
      <c r="N604" s="8" t="s">
        <v>2439</v>
      </c>
      <c r="O604" s="6">
        <f>HYPERLINK("https://docs.wto.org/imrd/directdoc.asp?DDFDocuments/t/G/SPS/NCRI285A1.DOCX", "https://docs.wto.org/imrd/directdoc.asp?DDFDocuments/t/G/SPS/NCRI285A1.DOCX")</f>
      </c>
      <c r="P604" s="6">
        <f>HYPERLINK("https://docs.wto.org/imrd/directdoc.asp?DDFDocuments/u/G/SPS/NCRI285A1.DOCX", "https://docs.wto.org/imrd/directdoc.asp?DDFDocuments/u/G/SPS/NCRI285A1.DOCX")</f>
      </c>
      <c r="Q604" s="6">
        <f>HYPERLINK("https://docs.wto.org/imrd/directdoc.asp?DDFDocuments/v/G/SPS/NCRI285A1.DOCX", "https://docs.wto.org/imrd/directdoc.asp?DDFDocuments/v/G/SPS/NCRI285A1.DOCX")</f>
      </c>
    </row>
    <row r="605">
      <c r="A605" s="6" t="s">
        <v>400</v>
      </c>
      <c r="B605" s="7">
        <v>45617</v>
      </c>
      <c r="C605" s="9">
        <f>HYPERLINK("https://eping.wto.org/en/Search?viewData= G/TBT/N/USA/1968/Add.1"," G/TBT/N/USA/1968/Add.1")</f>
      </c>
      <c r="D605" s="8" t="s">
        <v>1500</v>
      </c>
      <c r="E605" s="8" t="s">
        <v>2440</v>
      </c>
      <c r="F605" s="8" t="s">
        <v>1502</v>
      </c>
      <c r="G605" s="8" t="s">
        <v>22</v>
      </c>
      <c r="H605" s="8" t="s">
        <v>1503</v>
      </c>
      <c r="I605" s="8" t="s">
        <v>557</v>
      </c>
      <c r="J605" s="8" t="s">
        <v>22</v>
      </c>
      <c r="K605" s="6"/>
      <c r="L605" s="7" t="s">
        <v>22</v>
      </c>
      <c r="M605" s="6" t="s">
        <v>40</v>
      </c>
      <c r="N605" s="8" t="s">
        <v>2441</v>
      </c>
      <c r="O605" s="6">
        <f>HYPERLINK("https://docs.wto.org/imrd/directdoc.asp?DDFDocuments/t/G/TBTN23/USA1968A1.DOCX", "https://docs.wto.org/imrd/directdoc.asp?DDFDocuments/t/G/TBTN23/USA1968A1.DOCX")</f>
      </c>
      <c r="P605" s="6">
        <f>HYPERLINK("https://docs.wto.org/imrd/directdoc.asp?DDFDocuments/u/G/TBTN23/USA1968A1.DOCX", "https://docs.wto.org/imrd/directdoc.asp?DDFDocuments/u/G/TBTN23/USA1968A1.DOCX")</f>
      </c>
      <c r="Q605" s="6">
        <f>HYPERLINK("https://docs.wto.org/imrd/directdoc.asp?DDFDocuments/v/G/TBTN23/USA1968A1.DOCX", "https://docs.wto.org/imrd/directdoc.asp?DDFDocuments/v/G/TBTN23/USA1968A1.DOCX")</f>
      </c>
    </row>
    <row r="606">
      <c r="A606" s="6" t="s">
        <v>400</v>
      </c>
      <c r="B606" s="7">
        <v>45617</v>
      </c>
      <c r="C606" s="9">
        <f>HYPERLINK("https://eping.wto.org/en/Search?viewData= G/TBT/N/USA/2149/Add.1"," G/TBT/N/USA/2149/Add.1")</f>
      </c>
      <c r="D606" s="8" t="s">
        <v>2442</v>
      </c>
      <c r="E606" s="8" t="s">
        <v>2443</v>
      </c>
      <c r="F606" s="8" t="s">
        <v>2444</v>
      </c>
      <c r="G606" s="8" t="s">
        <v>22</v>
      </c>
      <c r="H606" s="8" t="s">
        <v>2445</v>
      </c>
      <c r="I606" s="8" t="s">
        <v>641</v>
      </c>
      <c r="J606" s="8" t="s">
        <v>22</v>
      </c>
      <c r="K606" s="6"/>
      <c r="L606" s="7">
        <v>45644</v>
      </c>
      <c r="M606" s="6" t="s">
        <v>40</v>
      </c>
      <c r="N606" s="6"/>
      <c r="O606" s="6">
        <f>HYPERLINK("https://docs.wto.org/imrd/directdoc.asp?DDFDocuments/t/G/TBTN24/USA2149A1.DOCX", "https://docs.wto.org/imrd/directdoc.asp?DDFDocuments/t/G/TBTN24/USA2149A1.DOCX")</f>
      </c>
      <c r="P606" s="6">
        <f>HYPERLINK("https://docs.wto.org/imrd/directdoc.asp?DDFDocuments/u/G/TBTN24/USA2149A1.DOCX", "https://docs.wto.org/imrd/directdoc.asp?DDFDocuments/u/G/TBTN24/USA2149A1.DOCX")</f>
      </c>
      <c r="Q606" s="6">
        <f>HYPERLINK("https://docs.wto.org/imrd/directdoc.asp?DDFDocuments/v/G/TBTN24/USA2149A1.DOCX", "https://docs.wto.org/imrd/directdoc.asp?DDFDocuments/v/G/TBTN24/USA2149A1.DOCX")</f>
      </c>
    </row>
    <row r="607">
      <c r="A607" s="6" t="s">
        <v>360</v>
      </c>
      <c r="B607" s="7">
        <v>45616</v>
      </c>
      <c r="C607" s="9">
        <f>HYPERLINK("https://eping.wto.org/en/Search?viewData= G/TBT/N/CHL/625/Add.6"," G/TBT/N/CHL/625/Add.6")</f>
      </c>
      <c r="D607" s="8" t="s">
        <v>2446</v>
      </c>
      <c r="E607" s="8" t="s">
        <v>2447</v>
      </c>
      <c r="F607" s="8" t="s">
        <v>2448</v>
      </c>
      <c r="G607" s="8" t="s">
        <v>22</v>
      </c>
      <c r="H607" s="8" t="s">
        <v>665</v>
      </c>
      <c r="I607" s="8" t="s">
        <v>760</v>
      </c>
      <c r="J607" s="8" t="s">
        <v>2449</v>
      </c>
      <c r="K607" s="6"/>
      <c r="L607" s="7" t="s">
        <v>22</v>
      </c>
      <c r="M607" s="6" t="s">
        <v>40</v>
      </c>
      <c r="N607" s="8" t="s">
        <v>2450</v>
      </c>
      <c r="O607" s="6">
        <f>HYPERLINK("https://docs.wto.org/imrd/directdoc.asp?DDFDocuments/t/G/TBTN23/CHL625A6.DOCX", "https://docs.wto.org/imrd/directdoc.asp?DDFDocuments/t/G/TBTN23/CHL625A6.DOCX")</f>
      </c>
      <c r="P607" s="6">
        <f>HYPERLINK("https://docs.wto.org/imrd/directdoc.asp?DDFDocuments/u/G/TBTN23/CHL625A6.DOCX", "https://docs.wto.org/imrd/directdoc.asp?DDFDocuments/u/G/TBTN23/CHL625A6.DOCX")</f>
      </c>
      <c r="Q607" s="6">
        <f>HYPERLINK("https://docs.wto.org/imrd/directdoc.asp?DDFDocuments/v/G/TBTN23/CHL625A6.DOCX", "https://docs.wto.org/imrd/directdoc.asp?DDFDocuments/v/G/TBTN23/CHL625A6.DOCX")</f>
      </c>
    </row>
    <row r="608">
      <c r="A608" s="6" t="s">
        <v>2451</v>
      </c>
      <c r="B608" s="7">
        <v>45616</v>
      </c>
      <c r="C608" s="9">
        <f>HYPERLINK("https://eping.wto.org/en/Search?viewData= G/TBT/N/NIC/181"," G/TBT/N/NIC/181")</f>
      </c>
      <c r="D608" s="8" t="s">
        <v>2452</v>
      </c>
      <c r="E608" s="8" t="s">
        <v>2453</v>
      </c>
      <c r="F608" s="8" t="s">
        <v>2454</v>
      </c>
      <c r="G608" s="8" t="s">
        <v>22</v>
      </c>
      <c r="H608" s="8" t="s">
        <v>2455</v>
      </c>
      <c r="I608" s="8" t="s">
        <v>39</v>
      </c>
      <c r="J608" s="8" t="s">
        <v>139</v>
      </c>
      <c r="K608" s="6"/>
      <c r="L608" s="7">
        <v>45672</v>
      </c>
      <c r="M608" s="6" t="s">
        <v>32</v>
      </c>
      <c r="N608" s="8" t="s">
        <v>2456</v>
      </c>
      <c r="O608" s="6">
        <f>HYPERLINK("https://docs.wto.org/imrd/directdoc.asp?DDFDocuments/t/G/TBTN24/NIC181.DOCX", "https://docs.wto.org/imrd/directdoc.asp?DDFDocuments/t/G/TBTN24/NIC181.DOCX")</f>
      </c>
      <c r="P608" s="6">
        <f>HYPERLINK("https://docs.wto.org/imrd/directdoc.asp?DDFDocuments/u/G/TBTN24/NIC181.DOCX", "https://docs.wto.org/imrd/directdoc.asp?DDFDocuments/u/G/TBTN24/NIC181.DOCX")</f>
      </c>
      <c r="Q608" s="6">
        <f>HYPERLINK("https://docs.wto.org/imrd/directdoc.asp?DDFDocuments/v/G/TBTN24/NIC181.DOCX", "https://docs.wto.org/imrd/directdoc.asp?DDFDocuments/v/G/TBTN24/NIC181.DOCX")</f>
      </c>
    </row>
    <row r="609">
      <c r="A609" s="6" t="s">
        <v>2307</v>
      </c>
      <c r="B609" s="7">
        <v>45616</v>
      </c>
      <c r="C609" s="9">
        <f>HYPERLINK("https://eping.wto.org/en/Search?viewData= G/SPS/N/MAR/102/Add.1"," G/SPS/N/MAR/102/Add.1")</f>
      </c>
      <c r="D609" s="8" t="s">
        <v>2457</v>
      </c>
      <c r="E609" s="8" t="s">
        <v>2457</v>
      </c>
      <c r="F609" s="8" t="s">
        <v>2458</v>
      </c>
      <c r="G609" s="8" t="s">
        <v>2459</v>
      </c>
      <c r="H609" s="8" t="s">
        <v>22</v>
      </c>
      <c r="I609" s="8" t="s">
        <v>120</v>
      </c>
      <c r="J609" s="8" t="s">
        <v>1903</v>
      </c>
      <c r="K609" s="6"/>
      <c r="L609" s="7" t="s">
        <v>22</v>
      </c>
      <c r="M609" s="6" t="s">
        <v>40</v>
      </c>
      <c r="N609" s="8" t="s">
        <v>2460</v>
      </c>
      <c r="O609" s="6">
        <f>HYPERLINK("https://docs.wto.org/imrd/directdoc.asp?DDFDocuments/t/G/SPS/NMAR102A1.DOCX", "https://docs.wto.org/imrd/directdoc.asp?DDFDocuments/t/G/SPS/NMAR102A1.DOCX")</f>
      </c>
      <c r="P609" s="6">
        <f>HYPERLINK("https://docs.wto.org/imrd/directdoc.asp?DDFDocuments/u/G/SPS/NMAR102A1.DOCX", "https://docs.wto.org/imrd/directdoc.asp?DDFDocuments/u/G/SPS/NMAR102A1.DOCX")</f>
      </c>
      <c r="Q609" s="6">
        <f>HYPERLINK("https://docs.wto.org/imrd/directdoc.asp?DDFDocuments/v/G/SPS/NMAR102A1.DOCX", "https://docs.wto.org/imrd/directdoc.asp?DDFDocuments/v/G/SPS/NMAR102A1.DOCX")</f>
      </c>
    </row>
    <row r="610">
      <c r="A610" s="6" t="s">
        <v>360</v>
      </c>
      <c r="B610" s="7">
        <v>45616</v>
      </c>
      <c r="C610" s="9">
        <f>HYPERLINK("https://eping.wto.org/en/Search?viewData= G/SPS/N/CHL/794/Add.1"," G/SPS/N/CHL/794/Add.1")</f>
      </c>
      <c r="D610" s="8" t="s">
        <v>2461</v>
      </c>
      <c r="E610" s="8" t="s">
        <v>2461</v>
      </c>
      <c r="F610" s="8" t="s">
        <v>2462</v>
      </c>
      <c r="G610" s="8" t="s">
        <v>2463</v>
      </c>
      <c r="H610" s="8" t="s">
        <v>22</v>
      </c>
      <c r="I610" s="8" t="s">
        <v>348</v>
      </c>
      <c r="J610" s="8" t="s">
        <v>2464</v>
      </c>
      <c r="K610" s="6"/>
      <c r="L610" s="7" t="s">
        <v>22</v>
      </c>
      <c r="M610" s="6" t="s">
        <v>40</v>
      </c>
      <c r="N610" s="8" t="s">
        <v>2465</v>
      </c>
      <c r="O610" s="6">
        <f>HYPERLINK("https://docs.wto.org/imrd/directdoc.asp?DDFDocuments/t/G/SPS/NCHL794A1.DOCX", "https://docs.wto.org/imrd/directdoc.asp?DDFDocuments/t/G/SPS/NCHL794A1.DOCX")</f>
      </c>
      <c r="P610" s="6">
        <f>HYPERLINK("https://docs.wto.org/imrd/directdoc.asp?DDFDocuments/u/G/SPS/NCHL794A1.DOCX", "https://docs.wto.org/imrd/directdoc.asp?DDFDocuments/u/G/SPS/NCHL794A1.DOCX")</f>
      </c>
      <c r="Q610" s="6">
        <f>HYPERLINK("https://docs.wto.org/imrd/directdoc.asp?DDFDocuments/v/G/SPS/NCHL794A1.DOCX", "https://docs.wto.org/imrd/directdoc.asp?DDFDocuments/v/G/SPS/NCHL794A1.DOCX")</f>
      </c>
    </row>
    <row r="611">
      <c r="A611" s="6" t="s">
        <v>152</v>
      </c>
      <c r="B611" s="7">
        <v>45616</v>
      </c>
      <c r="C611" s="9">
        <f>HYPERLINK("https://eping.wto.org/en/Search?viewData= G/SPS/N/PER/1070"," G/SPS/N/PER/1070")</f>
      </c>
      <c r="D611" s="8" t="s">
        <v>2466</v>
      </c>
      <c r="E611" s="8" t="s">
        <v>2467</v>
      </c>
      <c r="F611" s="8" t="s">
        <v>2468</v>
      </c>
      <c r="G611" s="8" t="s">
        <v>2469</v>
      </c>
      <c r="H611" s="8" t="s">
        <v>22</v>
      </c>
      <c r="I611" s="8" t="s">
        <v>128</v>
      </c>
      <c r="J611" s="8" t="s">
        <v>440</v>
      </c>
      <c r="K611" s="6" t="s">
        <v>330</v>
      </c>
      <c r="L611" s="7">
        <v>45339</v>
      </c>
      <c r="M611" s="6" t="s">
        <v>32</v>
      </c>
      <c r="N611" s="8" t="s">
        <v>2470</v>
      </c>
      <c r="O611" s="6">
        <f>HYPERLINK("https://docs.wto.org/imrd/directdoc.asp?DDFDocuments/t/G/SPS/NPER1070.DOCX", "https://docs.wto.org/imrd/directdoc.asp?DDFDocuments/t/G/SPS/NPER1070.DOCX")</f>
      </c>
      <c r="P611" s="6">
        <f>HYPERLINK("https://docs.wto.org/imrd/directdoc.asp?DDFDocuments/u/G/SPS/NPER1070.DOCX", "https://docs.wto.org/imrd/directdoc.asp?DDFDocuments/u/G/SPS/NPER1070.DOCX")</f>
      </c>
      <c r="Q611" s="6">
        <f>HYPERLINK("https://docs.wto.org/imrd/directdoc.asp?DDFDocuments/v/G/SPS/NPER1070.DOCX", "https://docs.wto.org/imrd/directdoc.asp?DDFDocuments/v/G/SPS/NPER1070.DOCX")</f>
      </c>
    </row>
    <row r="612">
      <c r="A612" s="6" t="s">
        <v>400</v>
      </c>
      <c r="B612" s="7">
        <v>45616</v>
      </c>
      <c r="C612" s="9">
        <f>HYPERLINK("https://eping.wto.org/en/Search?viewData= G/TBT/N/USA/2160"," G/TBT/N/USA/2160")</f>
      </c>
      <c r="D612" s="8" t="s">
        <v>2471</v>
      </c>
      <c r="E612" s="8" t="s">
        <v>2472</v>
      </c>
      <c r="F612" s="8" t="s">
        <v>2473</v>
      </c>
      <c r="G612" s="8" t="s">
        <v>22</v>
      </c>
      <c r="H612" s="8" t="s">
        <v>2474</v>
      </c>
      <c r="I612" s="8" t="s">
        <v>2475</v>
      </c>
      <c r="J612" s="8" t="s">
        <v>22</v>
      </c>
      <c r="K612" s="6"/>
      <c r="L612" s="7">
        <v>45642</v>
      </c>
      <c r="M612" s="6" t="s">
        <v>32</v>
      </c>
      <c r="N612" s="8" t="s">
        <v>2476</v>
      </c>
      <c r="O612" s="6">
        <f>HYPERLINK("https://docs.wto.org/imrd/directdoc.asp?DDFDocuments/t/G/TBTN24/USA2160.DOCX", "https://docs.wto.org/imrd/directdoc.asp?DDFDocuments/t/G/TBTN24/USA2160.DOCX")</f>
      </c>
      <c r="P612" s="6">
        <f>HYPERLINK("https://docs.wto.org/imrd/directdoc.asp?DDFDocuments/u/G/TBTN24/USA2160.DOCX", "https://docs.wto.org/imrd/directdoc.asp?DDFDocuments/u/G/TBTN24/USA2160.DOCX")</f>
      </c>
      <c r="Q612" s="6">
        <f>HYPERLINK("https://docs.wto.org/imrd/directdoc.asp?DDFDocuments/v/G/TBTN24/USA2160.DOCX", "https://docs.wto.org/imrd/directdoc.asp?DDFDocuments/v/G/TBTN24/USA2160.DOCX")</f>
      </c>
    </row>
    <row r="613">
      <c r="A613" s="6" t="s">
        <v>2477</v>
      </c>
      <c r="B613" s="7">
        <v>45616</v>
      </c>
      <c r="C613" s="9">
        <f>HYPERLINK("https://eping.wto.org/en/Search?viewData= G/TBT/N/JOR/59"," G/TBT/N/JOR/59")</f>
      </c>
      <c r="D613" s="8" t="s">
        <v>2478</v>
      </c>
      <c r="E613" s="8" t="s">
        <v>2479</v>
      </c>
      <c r="F613" s="8" t="s">
        <v>2480</v>
      </c>
      <c r="G613" s="8" t="s">
        <v>22</v>
      </c>
      <c r="H613" s="8" t="s">
        <v>2481</v>
      </c>
      <c r="I613" s="8" t="s">
        <v>203</v>
      </c>
      <c r="J613" s="8" t="s">
        <v>22</v>
      </c>
      <c r="K613" s="6"/>
      <c r="L613" s="7">
        <v>45646</v>
      </c>
      <c r="M613" s="6" t="s">
        <v>32</v>
      </c>
      <c r="N613" s="8" t="s">
        <v>2482</v>
      </c>
      <c r="O613" s="6">
        <f>HYPERLINK("https://docs.wto.org/imrd/directdoc.asp?DDFDocuments/t/G/TBTN24/JOR59.DOCX", "https://docs.wto.org/imrd/directdoc.asp?DDFDocuments/t/G/TBTN24/JOR59.DOCX")</f>
      </c>
      <c r="P613" s="6">
        <f>HYPERLINK("https://docs.wto.org/imrd/directdoc.asp?DDFDocuments/u/G/TBTN24/JOR59.DOCX", "https://docs.wto.org/imrd/directdoc.asp?DDFDocuments/u/G/TBTN24/JOR59.DOCX")</f>
      </c>
      <c r="Q613" s="6">
        <f>HYPERLINK("https://docs.wto.org/imrd/directdoc.asp?DDFDocuments/v/G/TBTN24/JOR59.DOCX", "https://docs.wto.org/imrd/directdoc.asp?DDFDocuments/v/G/TBTN24/JOR59.DOCX")</f>
      </c>
    </row>
    <row r="614">
      <c r="A614" s="6" t="s">
        <v>2477</v>
      </c>
      <c r="B614" s="7">
        <v>45616</v>
      </c>
      <c r="C614" s="9">
        <f>HYPERLINK("https://eping.wto.org/en/Search?viewData= G/TBT/N/JOR/58"," G/TBT/N/JOR/58")</f>
      </c>
      <c r="D614" s="8" t="s">
        <v>2483</v>
      </c>
      <c r="E614" s="8" t="s">
        <v>2484</v>
      </c>
      <c r="F614" s="8" t="s">
        <v>2485</v>
      </c>
      <c r="G614" s="8" t="s">
        <v>22</v>
      </c>
      <c r="H614" s="8" t="s">
        <v>2486</v>
      </c>
      <c r="I614" s="8" t="s">
        <v>2487</v>
      </c>
      <c r="J614" s="8" t="s">
        <v>22</v>
      </c>
      <c r="K614" s="6"/>
      <c r="L614" s="7">
        <v>45677</v>
      </c>
      <c r="M614" s="6" t="s">
        <v>32</v>
      </c>
      <c r="N614" s="8" t="s">
        <v>2488</v>
      </c>
      <c r="O614" s="6">
        <f>HYPERLINK("https://docs.wto.org/imrd/directdoc.asp?DDFDocuments/t/G/TBTN24/JOR58.DOCX", "https://docs.wto.org/imrd/directdoc.asp?DDFDocuments/t/G/TBTN24/JOR58.DOCX")</f>
      </c>
      <c r="P614" s="6">
        <f>HYPERLINK("https://docs.wto.org/imrd/directdoc.asp?DDFDocuments/u/G/TBTN24/JOR58.DOCX", "https://docs.wto.org/imrd/directdoc.asp?DDFDocuments/u/G/TBTN24/JOR58.DOCX")</f>
      </c>
      <c r="Q614" s="6">
        <f>HYPERLINK("https://docs.wto.org/imrd/directdoc.asp?DDFDocuments/v/G/TBTN24/JOR58.DOCX", "https://docs.wto.org/imrd/directdoc.asp?DDFDocuments/v/G/TBTN24/JOR58.DOCX")</f>
      </c>
    </row>
    <row r="615">
      <c r="A615" s="6" t="s">
        <v>152</v>
      </c>
      <c r="B615" s="7">
        <v>45616</v>
      </c>
      <c r="C615" s="9">
        <f>HYPERLINK("https://eping.wto.org/en/Search?viewData= G/SPS/N/PER/1067"," G/SPS/N/PER/1067")</f>
      </c>
      <c r="D615" s="8" t="s">
        <v>2489</v>
      </c>
      <c r="E615" s="8" t="s">
        <v>2490</v>
      </c>
      <c r="F615" s="8" t="s">
        <v>2491</v>
      </c>
      <c r="G615" s="8" t="s">
        <v>2469</v>
      </c>
      <c r="H615" s="8" t="s">
        <v>22</v>
      </c>
      <c r="I615" s="8" t="s">
        <v>128</v>
      </c>
      <c r="J615" s="8" t="s">
        <v>440</v>
      </c>
      <c r="K615" s="6" t="s">
        <v>2492</v>
      </c>
      <c r="L615" s="7">
        <v>45705</v>
      </c>
      <c r="M615" s="6" t="s">
        <v>32</v>
      </c>
      <c r="N615" s="8" t="s">
        <v>2493</v>
      </c>
      <c r="O615" s="6">
        <f>HYPERLINK("https://docs.wto.org/imrd/directdoc.asp?DDFDocuments/t/G/SPS/NPER1067.DOCX", "https://docs.wto.org/imrd/directdoc.asp?DDFDocuments/t/G/SPS/NPER1067.DOCX")</f>
      </c>
      <c r="P615" s="6">
        <f>HYPERLINK("https://docs.wto.org/imrd/directdoc.asp?DDFDocuments/u/G/SPS/NPER1067.DOCX", "https://docs.wto.org/imrd/directdoc.asp?DDFDocuments/u/G/SPS/NPER1067.DOCX")</f>
      </c>
      <c r="Q615" s="6">
        <f>HYPERLINK("https://docs.wto.org/imrd/directdoc.asp?DDFDocuments/v/G/SPS/NPER1067.DOCX", "https://docs.wto.org/imrd/directdoc.asp?DDFDocuments/v/G/SPS/NPER1067.DOCX")</f>
      </c>
    </row>
    <row r="616">
      <c r="A616" s="6" t="s">
        <v>400</v>
      </c>
      <c r="B616" s="7">
        <v>45616</v>
      </c>
      <c r="C616" s="9">
        <f>HYPERLINK("https://eping.wto.org/en/Search?viewData= G/TBT/N/USA/2159"," G/TBT/N/USA/2159")</f>
      </c>
      <c r="D616" s="8" t="s">
        <v>2494</v>
      </c>
      <c r="E616" s="8" t="s">
        <v>2495</v>
      </c>
      <c r="F616" s="8" t="s">
        <v>2496</v>
      </c>
      <c r="G616" s="8" t="s">
        <v>22</v>
      </c>
      <c r="H616" s="8" t="s">
        <v>2497</v>
      </c>
      <c r="I616" s="8" t="s">
        <v>292</v>
      </c>
      <c r="J616" s="8" t="s">
        <v>22</v>
      </c>
      <c r="K616" s="6"/>
      <c r="L616" s="7">
        <v>45678</v>
      </c>
      <c r="M616" s="6" t="s">
        <v>32</v>
      </c>
      <c r="N616" s="8" t="s">
        <v>2498</v>
      </c>
      <c r="O616" s="6">
        <f>HYPERLINK("https://docs.wto.org/imrd/directdoc.asp?DDFDocuments/t/G/TBTN24/USA2159.DOCX", "https://docs.wto.org/imrd/directdoc.asp?DDFDocuments/t/G/TBTN24/USA2159.DOCX")</f>
      </c>
      <c r="P616" s="6">
        <f>HYPERLINK("https://docs.wto.org/imrd/directdoc.asp?DDFDocuments/u/G/TBTN24/USA2159.DOCX", "https://docs.wto.org/imrd/directdoc.asp?DDFDocuments/u/G/TBTN24/USA2159.DOCX")</f>
      </c>
      <c r="Q616" s="6">
        <f>HYPERLINK("https://docs.wto.org/imrd/directdoc.asp?DDFDocuments/v/G/TBTN24/USA2159.DOCX", "https://docs.wto.org/imrd/directdoc.asp?DDFDocuments/v/G/TBTN24/USA2159.DOCX")</f>
      </c>
    </row>
    <row r="617">
      <c r="A617" s="6" t="s">
        <v>513</v>
      </c>
      <c r="B617" s="7">
        <v>45616</v>
      </c>
      <c r="C617" s="9">
        <f>HYPERLINK("https://eping.wto.org/en/Search?viewData= G/SPS/N/IND/321"," G/SPS/N/IND/321")</f>
      </c>
      <c r="D617" s="8" t="s">
        <v>2499</v>
      </c>
      <c r="E617" s="8" t="s">
        <v>2500</v>
      </c>
      <c r="F617" s="8" t="s">
        <v>2501</v>
      </c>
      <c r="G617" s="8" t="s">
        <v>2502</v>
      </c>
      <c r="H617" s="8" t="s">
        <v>22</v>
      </c>
      <c r="I617" s="8" t="s">
        <v>518</v>
      </c>
      <c r="J617" s="8" t="s">
        <v>2503</v>
      </c>
      <c r="K617" s="6" t="s">
        <v>330</v>
      </c>
      <c r="L617" s="7">
        <v>45676</v>
      </c>
      <c r="M617" s="6" t="s">
        <v>32</v>
      </c>
      <c r="N617" s="8" t="s">
        <v>2504</v>
      </c>
      <c r="O617" s="6">
        <f>HYPERLINK("https://docs.wto.org/imrd/directdoc.asp?DDFDocuments/t/G/SPS/NIND321.DOCX", "https://docs.wto.org/imrd/directdoc.asp?DDFDocuments/t/G/SPS/NIND321.DOCX")</f>
      </c>
      <c r="P617" s="6">
        <f>HYPERLINK("https://docs.wto.org/imrd/directdoc.asp?DDFDocuments/u/G/SPS/NIND321.DOCX", "https://docs.wto.org/imrd/directdoc.asp?DDFDocuments/u/G/SPS/NIND321.DOCX")</f>
      </c>
      <c r="Q617" s="6">
        <f>HYPERLINK("https://docs.wto.org/imrd/directdoc.asp?DDFDocuments/v/G/SPS/NIND321.DOCX", "https://docs.wto.org/imrd/directdoc.asp?DDFDocuments/v/G/SPS/NIND321.DOCX")</f>
      </c>
    </row>
    <row r="618">
      <c r="A618" s="6" t="s">
        <v>400</v>
      </c>
      <c r="B618" s="7">
        <v>45616</v>
      </c>
      <c r="C618" s="9">
        <f>HYPERLINK("https://eping.wto.org/en/Search?viewData= G/TBT/N/USA/2070/Add.1"," G/TBT/N/USA/2070/Add.1")</f>
      </c>
      <c r="D618" s="8" t="s">
        <v>2505</v>
      </c>
      <c r="E618" s="8" t="s">
        <v>2506</v>
      </c>
      <c r="F618" s="8" t="s">
        <v>2507</v>
      </c>
      <c r="G618" s="8" t="s">
        <v>22</v>
      </c>
      <c r="H618" s="8" t="s">
        <v>2508</v>
      </c>
      <c r="I618" s="8" t="s">
        <v>292</v>
      </c>
      <c r="J618" s="8" t="s">
        <v>266</v>
      </c>
      <c r="K618" s="6"/>
      <c r="L618" s="7" t="s">
        <v>22</v>
      </c>
      <c r="M618" s="6" t="s">
        <v>40</v>
      </c>
      <c r="N618" s="8" t="s">
        <v>2509</v>
      </c>
      <c r="O618" s="6">
        <f>HYPERLINK("https://docs.wto.org/imrd/directdoc.asp?DDFDocuments/t/G/TBTN23/USA2070A1.DOCX", "https://docs.wto.org/imrd/directdoc.asp?DDFDocuments/t/G/TBTN23/USA2070A1.DOCX")</f>
      </c>
      <c r="P618" s="6">
        <f>HYPERLINK("https://docs.wto.org/imrd/directdoc.asp?DDFDocuments/u/G/TBTN23/USA2070A1.DOCX", "https://docs.wto.org/imrd/directdoc.asp?DDFDocuments/u/G/TBTN23/USA2070A1.DOCX")</f>
      </c>
      <c r="Q618" s="6">
        <f>HYPERLINK("https://docs.wto.org/imrd/directdoc.asp?DDFDocuments/v/G/TBTN23/USA2070A1.DOCX", "https://docs.wto.org/imrd/directdoc.asp?DDFDocuments/v/G/TBTN23/USA2070A1.DOCX")</f>
      </c>
    </row>
    <row r="619">
      <c r="A619" s="6" t="s">
        <v>152</v>
      </c>
      <c r="B619" s="7">
        <v>45616</v>
      </c>
      <c r="C619" s="9">
        <f>HYPERLINK("https://eping.wto.org/en/Search?viewData= G/SPS/N/PER/1069"," G/SPS/N/PER/1069")</f>
      </c>
      <c r="D619" s="8" t="s">
        <v>2510</v>
      </c>
      <c r="E619" s="8" t="s">
        <v>2511</v>
      </c>
      <c r="F619" s="8" t="s">
        <v>2512</v>
      </c>
      <c r="G619" s="8" t="s">
        <v>2513</v>
      </c>
      <c r="H619" s="8" t="s">
        <v>22</v>
      </c>
      <c r="I619" s="8" t="s">
        <v>128</v>
      </c>
      <c r="J619" s="8" t="s">
        <v>1262</v>
      </c>
      <c r="K619" s="6" t="s">
        <v>2514</v>
      </c>
      <c r="L619" s="7">
        <v>45676</v>
      </c>
      <c r="M619" s="6" t="s">
        <v>32</v>
      </c>
      <c r="N619" s="8" t="s">
        <v>2515</v>
      </c>
      <c r="O619" s="6">
        <f>HYPERLINK("https://docs.wto.org/imrd/directdoc.asp?DDFDocuments/t/G/SPS/NPER1069.DOCX", "https://docs.wto.org/imrd/directdoc.asp?DDFDocuments/t/G/SPS/NPER1069.DOCX")</f>
      </c>
      <c r="P619" s="6">
        <f>HYPERLINK("https://docs.wto.org/imrd/directdoc.asp?DDFDocuments/u/G/SPS/NPER1069.DOCX", "https://docs.wto.org/imrd/directdoc.asp?DDFDocuments/u/G/SPS/NPER1069.DOCX")</f>
      </c>
      <c r="Q619" s="6">
        <f>HYPERLINK("https://docs.wto.org/imrd/directdoc.asp?DDFDocuments/v/G/SPS/NPER1069.DOCX", "https://docs.wto.org/imrd/directdoc.asp?DDFDocuments/v/G/SPS/NPER1069.DOCX")</f>
      </c>
    </row>
    <row r="620">
      <c r="A620" s="6" t="s">
        <v>17</v>
      </c>
      <c r="B620" s="7">
        <v>45616</v>
      </c>
      <c r="C620" s="9">
        <f>HYPERLINK("https://eping.wto.org/en/Search?viewData= G/SPS/N/KOR/807/Rev.1"," G/SPS/N/KOR/807/Rev.1")</f>
      </c>
      <c r="D620" s="8" t="s">
        <v>117</v>
      </c>
      <c r="E620" s="8" t="s">
        <v>2516</v>
      </c>
      <c r="F620" s="8" t="s">
        <v>119</v>
      </c>
      <c r="G620" s="8" t="s">
        <v>22</v>
      </c>
      <c r="H620" s="8" t="s">
        <v>22</v>
      </c>
      <c r="I620" s="8" t="s">
        <v>120</v>
      </c>
      <c r="J620" s="8" t="s">
        <v>121</v>
      </c>
      <c r="K620" s="6" t="s">
        <v>22</v>
      </c>
      <c r="L620" s="7">
        <v>45676</v>
      </c>
      <c r="M620" s="6" t="s">
        <v>1170</v>
      </c>
      <c r="N620" s="8" t="s">
        <v>2517</v>
      </c>
      <c r="O620" s="6">
        <f>HYPERLINK("https://docs.wto.org/imrd/directdoc.asp?DDFDocuments/t/G/SPS/NKOR807R1.DOCX", "https://docs.wto.org/imrd/directdoc.asp?DDFDocuments/t/G/SPS/NKOR807R1.DOCX")</f>
      </c>
      <c r="P620" s="6">
        <f>HYPERLINK("https://docs.wto.org/imrd/directdoc.asp?DDFDocuments/u/G/SPS/NKOR807R1.DOCX", "https://docs.wto.org/imrd/directdoc.asp?DDFDocuments/u/G/SPS/NKOR807R1.DOCX")</f>
      </c>
      <c r="Q620" s="6">
        <f>HYPERLINK("https://docs.wto.org/imrd/directdoc.asp?DDFDocuments/v/G/SPS/NKOR807R1.DOCX", "https://docs.wto.org/imrd/directdoc.asp?DDFDocuments/v/G/SPS/NKOR807R1.DOCX")</f>
      </c>
    </row>
    <row r="621">
      <c r="A621" s="6" t="s">
        <v>152</v>
      </c>
      <c r="B621" s="7">
        <v>45616</v>
      </c>
      <c r="C621" s="9">
        <f>HYPERLINK("https://eping.wto.org/en/Search?viewData= G/SPS/N/PER/1068"," G/SPS/N/PER/1068")</f>
      </c>
      <c r="D621" s="8" t="s">
        <v>2518</v>
      </c>
      <c r="E621" s="8" t="s">
        <v>2519</v>
      </c>
      <c r="F621" s="8" t="s">
        <v>2520</v>
      </c>
      <c r="G621" s="8" t="s">
        <v>2521</v>
      </c>
      <c r="H621" s="8" t="s">
        <v>22</v>
      </c>
      <c r="I621" s="8" t="s">
        <v>128</v>
      </c>
      <c r="J621" s="8" t="s">
        <v>1262</v>
      </c>
      <c r="K621" s="6" t="s">
        <v>1936</v>
      </c>
      <c r="L621" s="7">
        <v>45676</v>
      </c>
      <c r="M621" s="6" t="s">
        <v>32</v>
      </c>
      <c r="N621" s="8" t="s">
        <v>2522</v>
      </c>
      <c r="O621" s="6">
        <f>HYPERLINK("https://docs.wto.org/imrd/directdoc.asp?DDFDocuments/t/G/SPS/NPER1068.DOCX", "https://docs.wto.org/imrd/directdoc.asp?DDFDocuments/t/G/SPS/NPER1068.DOCX")</f>
      </c>
      <c r="P621" s="6">
        <f>HYPERLINK("https://docs.wto.org/imrd/directdoc.asp?DDFDocuments/u/G/SPS/NPER1068.DOCX", "https://docs.wto.org/imrd/directdoc.asp?DDFDocuments/u/G/SPS/NPER1068.DOCX")</f>
      </c>
      <c r="Q621" s="6">
        <f>HYPERLINK("https://docs.wto.org/imrd/directdoc.asp?DDFDocuments/v/G/SPS/NPER1068.DOCX", "https://docs.wto.org/imrd/directdoc.asp?DDFDocuments/v/G/SPS/NPER1068.DOCX")</f>
      </c>
    </row>
    <row r="622">
      <c r="A622" s="6" t="s">
        <v>360</v>
      </c>
      <c r="B622" s="7">
        <v>45616</v>
      </c>
      <c r="C622" s="9">
        <f>HYPERLINK("https://eping.wto.org/en/Search?viewData= G/SPS/N/CHL/784/Rev.1/Add.1"," G/SPS/N/CHL/784/Rev.1/Add.1")</f>
      </c>
      <c r="D622" s="8" t="s">
        <v>2523</v>
      </c>
      <c r="E622" s="8" t="s">
        <v>2523</v>
      </c>
      <c r="F622" s="8" t="s">
        <v>2524</v>
      </c>
      <c r="G622" s="8" t="s">
        <v>2525</v>
      </c>
      <c r="H622" s="8" t="s">
        <v>22</v>
      </c>
      <c r="I622" s="8" t="s">
        <v>128</v>
      </c>
      <c r="J622" s="8" t="s">
        <v>2526</v>
      </c>
      <c r="K622" s="6"/>
      <c r="L622" s="7" t="s">
        <v>22</v>
      </c>
      <c r="M622" s="6" t="s">
        <v>40</v>
      </c>
      <c r="N622" s="8" t="s">
        <v>2527</v>
      </c>
      <c r="O622" s="6">
        <f>HYPERLINK("https://docs.wto.org/imrd/directdoc.asp?DDFDocuments/t/G/SPS/NCHL784R1A1.DOCX", "https://docs.wto.org/imrd/directdoc.asp?DDFDocuments/t/G/SPS/NCHL784R1A1.DOCX")</f>
      </c>
      <c r="P622" s="6">
        <f>HYPERLINK("https://docs.wto.org/imrd/directdoc.asp?DDFDocuments/u/G/SPS/NCHL784R1A1.DOCX", "https://docs.wto.org/imrd/directdoc.asp?DDFDocuments/u/G/SPS/NCHL784R1A1.DOCX")</f>
      </c>
      <c r="Q622" s="6">
        <f>HYPERLINK("https://docs.wto.org/imrd/directdoc.asp?DDFDocuments/v/G/SPS/NCHL784R1A1.DOCX", "https://docs.wto.org/imrd/directdoc.asp?DDFDocuments/v/G/SPS/NCHL784R1A1.DOCX")</f>
      </c>
    </row>
    <row r="623">
      <c r="A623" s="6" t="s">
        <v>847</v>
      </c>
      <c r="B623" s="7">
        <v>45615</v>
      </c>
      <c r="C623" s="9">
        <f>HYPERLINK("https://eping.wto.org/en/Search?viewData= G/TBT/N/UKR/319"," G/TBT/N/UKR/319")</f>
      </c>
      <c r="D623" s="8" t="s">
        <v>2528</v>
      </c>
      <c r="E623" s="8" t="s">
        <v>2529</v>
      </c>
      <c r="F623" s="8" t="s">
        <v>758</v>
      </c>
      <c r="G623" s="8" t="s">
        <v>721</v>
      </c>
      <c r="H623" s="8" t="s">
        <v>1169</v>
      </c>
      <c r="I623" s="8" t="s">
        <v>641</v>
      </c>
      <c r="J623" s="8" t="s">
        <v>139</v>
      </c>
      <c r="K623" s="6"/>
      <c r="L623" s="7">
        <v>45675</v>
      </c>
      <c r="M623" s="6" t="s">
        <v>32</v>
      </c>
      <c r="N623" s="8" t="s">
        <v>2530</v>
      </c>
      <c r="O623" s="6">
        <f>HYPERLINK("https://docs.wto.org/imrd/directdoc.asp?DDFDocuments/t/G/TBTN24/UKR319.DOCX", "https://docs.wto.org/imrd/directdoc.asp?DDFDocuments/t/G/TBTN24/UKR319.DOCX")</f>
      </c>
      <c r="P623" s="6">
        <f>HYPERLINK("https://docs.wto.org/imrd/directdoc.asp?DDFDocuments/u/G/TBTN24/UKR319.DOCX", "https://docs.wto.org/imrd/directdoc.asp?DDFDocuments/u/G/TBTN24/UKR319.DOCX")</f>
      </c>
      <c r="Q623" s="6">
        <f>HYPERLINK("https://docs.wto.org/imrd/directdoc.asp?DDFDocuments/v/G/TBTN24/UKR319.DOCX", "https://docs.wto.org/imrd/directdoc.asp?DDFDocuments/v/G/TBTN24/UKR319.DOCX")</f>
      </c>
    </row>
    <row r="624">
      <c r="A624" s="6" t="s">
        <v>53</v>
      </c>
      <c r="B624" s="7">
        <v>45615</v>
      </c>
      <c r="C624" s="9">
        <f>HYPERLINK("https://eping.wto.org/en/Search?viewData= G/TBT/N/KEN/1714"," G/TBT/N/KEN/1714")</f>
      </c>
      <c r="D624" s="8" t="s">
        <v>2531</v>
      </c>
      <c r="E624" s="8" t="s">
        <v>2532</v>
      </c>
      <c r="F624" s="8" t="s">
        <v>2533</v>
      </c>
      <c r="G624" s="8" t="s">
        <v>22</v>
      </c>
      <c r="H624" s="8" t="s">
        <v>2534</v>
      </c>
      <c r="I624" s="8" t="s">
        <v>2162</v>
      </c>
      <c r="J624" s="8" t="s">
        <v>58</v>
      </c>
      <c r="K624" s="6"/>
      <c r="L624" s="7">
        <v>45675</v>
      </c>
      <c r="M624" s="6" t="s">
        <v>32</v>
      </c>
      <c r="N624" s="8" t="s">
        <v>2535</v>
      </c>
      <c r="O624" s="6">
        <f>HYPERLINK("https://docs.wto.org/imrd/directdoc.asp?DDFDocuments/t/G/TBTN24/KEN1714.DOCX", "https://docs.wto.org/imrd/directdoc.asp?DDFDocuments/t/G/TBTN24/KEN1714.DOCX")</f>
      </c>
      <c r="P624" s="6">
        <f>HYPERLINK("https://docs.wto.org/imrd/directdoc.asp?DDFDocuments/u/G/TBTN24/KEN1714.DOCX", "https://docs.wto.org/imrd/directdoc.asp?DDFDocuments/u/G/TBTN24/KEN1714.DOCX")</f>
      </c>
      <c r="Q624" s="6">
        <f>HYPERLINK("https://docs.wto.org/imrd/directdoc.asp?DDFDocuments/v/G/TBTN24/KEN1714.DOCX", "https://docs.wto.org/imrd/directdoc.asp?DDFDocuments/v/G/TBTN24/KEN1714.DOCX")</f>
      </c>
    </row>
    <row r="625">
      <c r="A625" s="6" t="s">
        <v>132</v>
      </c>
      <c r="B625" s="7">
        <v>45615</v>
      </c>
      <c r="C625" s="9">
        <f>HYPERLINK("https://eping.wto.org/en/Search?viewData= G/SPS/N/CAN/1580"," G/SPS/N/CAN/1580")</f>
      </c>
      <c r="D625" s="8" t="s">
        <v>2536</v>
      </c>
      <c r="E625" s="8" t="s">
        <v>2537</v>
      </c>
      <c r="F625" s="8" t="s">
        <v>2538</v>
      </c>
      <c r="G625" s="8" t="s">
        <v>22</v>
      </c>
      <c r="H625" s="8" t="s">
        <v>2539</v>
      </c>
      <c r="I625" s="8" t="s">
        <v>120</v>
      </c>
      <c r="J625" s="8" t="s">
        <v>416</v>
      </c>
      <c r="K625" s="6" t="s">
        <v>22</v>
      </c>
      <c r="L625" s="7">
        <v>45679</v>
      </c>
      <c r="M625" s="6" t="s">
        <v>32</v>
      </c>
      <c r="N625" s="6"/>
      <c r="O625" s="6">
        <f>HYPERLINK("https://docs.wto.org/imrd/directdoc.asp?DDFDocuments/t/G/SPS/NCAN1580.DOCX", "https://docs.wto.org/imrd/directdoc.asp?DDFDocuments/t/G/SPS/NCAN1580.DOCX")</f>
      </c>
      <c r="P625" s="6">
        <f>HYPERLINK("https://docs.wto.org/imrd/directdoc.asp?DDFDocuments/u/G/SPS/NCAN1580.DOCX", "https://docs.wto.org/imrd/directdoc.asp?DDFDocuments/u/G/SPS/NCAN1580.DOCX")</f>
      </c>
      <c r="Q625" s="6">
        <f>HYPERLINK("https://docs.wto.org/imrd/directdoc.asp?DDFDocuments/v/G/SPS/NCAN1580.DOCX", "https://docs.wto.org/imrd/directdoc.asp?DDFDocuments/v/G/SPS/NCAN1580.DOCX")</f>
      </c>
    </row>
    <row r="626">
      <c r="A626" s="6" t="s">
        <v>226</v>
      </c>
      <c r="B626" s="7">
        <v>45615</v>
      </c>
      <c r="C626" s="9">
        <f>HYPERLINK("https://eping.wto.org/en/Search?viewData= G/TBT/N/ARE/643"," G/TBT/N/ARE/643")</f>
      </c>
      <c r="D626" s="8" t="s">
        <v>2540</v>
      </c>
      <c r="E626" s="8" t="s">
        <v>2541</v>
      </c>
      <c r="F626" s="8" t="s">
        <v>2542</v>
      </c>
      <c r="G626" s="8" t="s">
        <v>22</v>
      </c>
      <c r="H626" s="8" t="s">
        <v>2543</v>
      </c>
      <c r="I626" s="8" t="s">
        <v>2544</v>
      </c>
      <c r="J626" s="8" t="s">
        <v>22</v>
      </c>
      <c r="K626" s="6"/>
      <c r="L626" s="7">
        <v>45675</v>
      </c>
      <c r="M626" s="6" t="s">
        <v>32</v>
      </c>
      <c r="N626" s="8" t="s">
        <v>2545</v>
      </c>
      <c r="O626" s="6">
        <f>HYPERLINK("https://docs.wto.org/imrd/directdoc.asp?DDFDocuments/t/G/TBTN24/ARE643.DOCX", "https://docs.wto.org/imrd/directdoc.asp?DDFDocuments/t/G/TBTN24/ARE643.DOCX")</f>
      </c>
      <c r="P626" s="6">
        <f>HYPERLINK("https://docs.wto.org/imrd/directdoc.asp?DDFDocuments/u/G/TBTN24/ARE643.DOCX", "https://docs.wto.org/imrd/directdoc.asp?DDFDocuments/u/G/TBTN24/ARE643.DOCX")</f>
      </c>
      <c r="Q626" s="6">
        <f>HYPERLINK("https://docs.wto.org/imrd/directdoc.asp?DDFDocuments/v/G/TBTN24/ARE643.DOCX", "https://docs.wto.org/imrd/directdoc.asp?DDFDocuments/v/G/TBTN24/ARE643.DOCX")</f>
      </c>
    </row>
    <row r="627">
      <c r="A627" s="6" t="s">
        <v>400</v>
      </c>
      <c r="B627" s="7">
        <v>45615</v>
      </c>
      <c r="C627" s="9">
        <f>HYPERLINK("https://eping.wto.org/en/Search?viewData= G/TBT/N/USA/2046/Rev.1/Add.4"," G/TBT/N/USA/2046/Rev.1/Add.4")</f>
      </c>
      <c r="D627" s="8" t="s">
        <v>2546</v>
      </c>
      <c r="E627" s="8" t="s">
        <v>2547</v>
      </c>
      <c r="F627" s="8" t="s">
        <v>2548</v>
      </c>
      <c r="G627" s="8" t="s">
        <v>22</v>
      </c>
      <c r="H627" s="8" t="s">
        <v>2549</v>
      </c>
      <c r="I627" s="8" t="s">
        <v>619</v>
      </c>
      <c r="J627" s="8" t="s">
        <v>22</v>
      </c>
      <c r="K627" s="6"/>
      <c r="L627" s="7" t="s">
        <v>22</v>
      </c>
      <c r="M627" s="6" t="s">
        <v>40</v>
      </c>
      <c r="N627" s="6"/>
      <c r="O627" s="6">
        <f>HYPERLINK("https://docs.wto.org/imrd/directdoc.asp?DDFDocuments/t/G/TBTN23/USA2046R1A4.DOCX", "https://docs.wto.org/imrd/directdoc.asp?DDFDocuments/t/G/TBTN23/USA2046R1A4.DOCX")</f>
      </c>
      <c r="P627" s="6">
        <f>HYPERLINK("https://docs.wto.org/imrd/directdoc.asp?DDFDocuments/u/G/TBTN23/USA2046R1A4.DOCX", "https://docs.wto.org/imrd/directdoc.asp?DDFDocuments/u/G/TBTN23/USA2046R1A4.DOCX")</f>
      </c>
      <c r="Q627" s="6">
        <f>HYPERLINK("https://docs.wto.org/imrd/directdoc.asp?DDFDocuments/v/G/TBTN23/USA2046R1A4.DOCX", "https://docs.wto.org/imrd/directdoc.asp?DDFDocuments/v/G/TBTN23/USA2046R1A4.DOCX")</f>
      </c>
    </row>
    <row r="628">
      <c r="A628" s="6" t="s">
        <v>400</v>
      </c>
      <c r="B628" s="7">
        <v>45615</v>
      </c>
      <c r="C628" s="9">
        <f>HYPERLINK("https://eping.wto.org/en/Search?viewData= G/TBT/N/USA/1057/Rev.2"," G/TBT/N/USA/1057/Rev.2")</f>
      </c>
      <c r="D628" s="8" t="s">
        <v>2550</v>
      </c>
      <c r="E628" s="8" t="s">
        <v>2551</v>
      </c>
      <c r="F628" s="8" t="s">
        <v>2552</v>
      </c>
      <c r="G628" s="8" t="s">
        <v>22</v>
      </c>
      <c r="H628" s="8" t="s">
        <v>2553</v>
      </c>
      <c r="I628" s="8" t="s">
        <v>39</v>
      </c>
      <c r="J628" s="8" t="s">
        <v>139</v>
      </c>
      <c r="K628" s="6"/>
      <c r="L628" s="7">
        <v>45617</v>
      </c>
      <c r="M628" s="6" t="s">
        <v>1170</v>
      </c>
      <c r="N628" s="8" t="s">
        <v>2554</v>
      </c>
      <c r="O628" s="6">
        <f>HYPERLINK("https://docs.wto.org/imrd/directdoc.asp?DDFDocuments/t/G/TBTN16/USA1057R2.DOCX", "https://docs.wto.org/imrd/directdoc.asp?DDFDocuments/t/G/TBTN16/USA1057R2.DOCX")</f>
      </c>
      <c r="P628" s="6">
        <f>HYPERLINK("https://docs.wto.org/imrd/directdoc.asp?DDFDocuments/u/G/TBTN16/USA1057R2.DOCX", "https://docs.wto.org/imrd/directdoc.asp?DDFDocuments/u/G/TBTN16/USA1057R2.DOCX")</f>
      </c>
      <c r="Q628" s="6">
        <f>HYPERLINK("https://docs.wto.org/imrd/directdoc.asp?DDFDocuments/v/G/TBTN16/USA1057R2.DOCX", "https://docs.wto.org/imrd/directdoc.asp?DDFDocuments/v/G/TBTN16/USA1057R2.DOCX")</f>
      </c>
    </row>
    <row r="629">
      <c r="A629" s="6" t="s">
        <v>53</v>
      </c>
      <c r="B629" s="7">
        <v>45615</v>
      </c>
      <c r="C629" s="9">
        <f>HYPERLINK("https://eping.wto.org/en/Search?viewData= G/TBT/N/KEN/1709"," G/TBT/N/KEN/1709")</f>
      </c>
      <c r="D629" s="8" t="s">
        <v>2555</v>
      </c>
      <c r="E629" s="8" t="s">
        <v>2260</v>
      </c>
      <c r="F629" s="8" t="s">
        <v>2556</v>
      </c>
      <c r="G629" s="8" t="s">
        <v>904</v>
      </c>
      <c r="H629" s="8" t="s">
        <v>2262</v>
      </c>
      <c r="I629" s="8" t="s">
        <v>80</v>
      </c>
      <c r="J629" s="8" t="s">
        <v>58</v>
      </c>
      <c r="K629" s="6"/>
      <c r="L629" s="7">
        <v>45675</v>
      </c>
      <c r="M629" s="6" t="s">
        <v>32</v>
      </c>
      <c r="N629" s="8" t="s">
        <v>2557</v>
      </c>
      <c r="O629" s="6">
        <f>HYPERLINK("https://docs.wto.org/imrd/directdoc.asp?DDFDocuments/t/G/TBTN24/KEN1709.DOCX", "https://docs.wto.org/imrd/directdoc.asp?DDFDocuments/t/G/TBTN24/KEN1709.DOCX")</f>
      </c>
      <c r="P629" s="6">
        <f>HYPERLINK("https://docs.wto.org/imrd/directdoc.asp?DDFDocuments/u/G/TBTN24/KEN1709.DOCX", "https://docs.wto.org/imrd/directdoc.asp?DDFDocuments/u/G/TBTN24/KEN1709.DOCX")</f>
      </c>
      <c r="Q629" s="6">
        <f>HYPERLINK("https://docs.wto.org/imrd/directdoc.asp?DDFDocuments/v/G/TBTN24/KEN1709.DOCX", "https://docs.wto.org/imrd/directdoc.asp?DDFDocuments/v/G/TBTN24/KEN1709.DOCX")</f>
      </c>
    </row>
    <row r="630">
      <c r="A630" s="6" t="s">
        <v>53</v>
      </c>
      <c r="B630" s="7">
        <v>45615</v>
      </c>
      <c r="C630" s="9">
        <f>HYPERLINK("https://eping.wto.org/en/Search?viewData= G/TBT/N/KEN/1710"," G/TBT/N/KEN/1710")</f>
      </c>
      <c r="D630" s="8" t="s">
        <v>2558</v>
      </c>
      <c r="E630" s="8" t="s">
        <v>2559</v>
      </c>
      <c r="F630" s="8" t="s">
        <v>2560</v>
      </c>
      <c r="G630" s="8" t="s">
        <v>2301</v>
      </c>
      <c r="H630" s="8" t="s">
        <v>2262</v>
      </c>
      <c r="I630" s="8" t="s">
        <v>80</v>
      </c>
      <c r="J630" s="8" t="s">
        <v>58</v>
      </c>
      <c r="K630" s="6"/>
      <c r="L630" s="7">
        <v>45675</v>
      </c>
      <c r="M630" s="6" t="s">
        <v>32</v>
      </c>
      <c r="N630" s="8" t="s">
        <v>2561</v>
      </c>
      <c r="O630" s="6">
        <f>HYPERLINK("https://docs.wto.org/imrd/directdoc.asp?DDFDocuments/t/G/TBTN24/KEN1710.DOCX", "https://docs.wto.org/imrd/directdoc.asp?DDFDocuments/t/G/TBTN24/KEN1710.DOCX")</f>
      </c>
      <c r="P630" s="6">
        <f>HYPERLINK("https://docs.wto.org/imrd/directdoc.asp?DDFDocuments/u/G/TBTN24/KEN1710.DOCX", "https://docs.wto.org/imrd/directdoc.asp?DDFDocuments/u/G/TBTN24/KEN1710.DOCX")</f>
      </c>
      <c r="Q630" s="6">
        <f>HYPERLINK("https://docs.wto.org/imrd/directdoc.asp?DDFDocuments/v/G/TBTN24/KEN1710.DOCX", "https://docs.wto.org/imrd/directdoc.asp?DDFDocuments/v/G/TBTN24/KEN1710.DOCX")</f>
      </c>
    </row>
    <row r="631">
      <c r="A631" s="6" t="s">
        <v>53</v>
      </c>
      <c r="B631" s="7">
        <v>45615</v>
      </c>
      <c r="C631" s="9">
        <f>HYPERLINK("https://eping.wto.org/en/Search?viewData= G/TBT/N/KEN/1713"," G/TBT/N/KEN/1713")</f>
      </c>
      <c r="D631" s="8" t="s">
        <v>2562</v>
      </c>
      <c r="E631" s="8" t="s">
        <v>2563</v>
      </c>
      <c r="F631" s="8" t="s">
        <v>2564</v>
      </c>
      <c r="G631" s="8" t="s">
        <v>2565</v>
      </c>
      <c r="H631" s="8" t="s">
        <v>2262</v>
      </c>
      <c r="I631" s="8" t="s">
        <v>242</v>
      </c>
      <c r="J631" s="8" t="s">
        <v>58</v>
      </c>
      <c r="K631" s="6"/>
      <c r="L631" s="7">
        <v>45675</v>
      </c>
      <c r="M631" s="6" t="s">
        <v>32</v>
      </c>
      <c r="N631" s="8" t="s">
        <v>2566</v>
      </c>
      <c r="O631" s="6">
        <f>HYPERLINK("https://docs.wto.org/imrd/directdoc.asp?DDFDocuments/t/G/TBTN24/KEN1713.DOCX", "https://docs.wto.org/imrd/directdoc.asp?DDFDocuments/t/G/TBTN24/KEN1713.DOCX")</f>
      </c>
      <c r="P631" s="6">
        <f>HYPERLINK("https://docs.wto.org/imrd/directdoc.asp?DDFDocuments/u/G/TBTN24/KEN1713.DOCX", "https://docs.wto.org/imrd/directdoc.asp?DDFDocuments/u/G/TBTN24/KEN1713.DOCX")</f>
      </c>
      <c r="Q631" s="6">
        <f>HYPERLINK("https://docs.wto.org/imrd/directdoc.asp?DDFDocuments/v/G/TBTN24/KEN1713.DOCX", "https://docs.wto.org/imrd/directdoc.asp?DDFDocuments/v/G/TBTN24/KEN1713.DOCX")</f>
      </c>
    </row>
    <row r="632">
      <c r="A632" s="6" t="s">
        <v>17</v>
      </c>
      <c r="B632" s="7">
        <v>45615</v>
      </c>
      <c r="C632" s="9">
        <f>HYPERLINK("https://eping.wto.org/en/Search?viewData= G/SPS/N/KOR/813"," G/SPS/N/KOR/813")</f>
      </c>
      <c r="D632" s="8" t="s">
        <v>2567</v>
      </c>
      <c r="E632" s="8" t="s">
        <v>2568</v>
      </c>
      <c r="F632" s="8" t="s">
        <v>2034</v>
      </c>
      <c r="G632" s="8" t="s">
        <v>22</v>
      </c>
      <c r="H632" s="8" t="s">
        <v>22</v>
      </c>
      <c r="I632" s="8" t="s">
        <v>120</v>
      </c>
      <c r="J632" s="8" t="s">
        <v>416</v>
      </c>
      <c r="K632" s="6" t="s">
        <v>22</v>
      </c>
      <c r="L632" s="7">
        <v>45675</v>
      </c>
      <c r="M632" s="6" t="s">
        <v>32</v>
      </c>
      <c r="N632" s="8" t="s">
        <v>2569</v>
      </c>
      <c r="O632" s="6">
        <f>HYPERLINK("https://docs.wto.org/imrd/directdoc.asp?DDFDocuments/t/G/SPS/NKOR813.DOCX", "https://docs.wto.org/imrd/directdoc.asp?DDFDocuments/t/G/SPS/NKOR813.DOCX")</f>
      </c>
      <c r="P632" s="6">
        <f>HYPERLINK("https://docs.wto.org/imrd/directdoc.asp?DDFDocuments/u/G/SPS/NKOR813.DOCX", "https://docs.wto.org/imrd/directdoc.asp?DDFDocuments/u/G/SPS/NKOR813.DOCX")</f>
      </c>
      <c r="Q632" s="6">
        <f>HYPERLINK("https://docs.wto.org/imrd/directdoc.asp?DDFDocuments/v/G/SPS/NKOR813.DOCX", "https://docs.wto.org/imrd/directdoc.asp?DDFDocuments/v/G/SPS/NKOR813.DOCX")</f>
      </c>
    </row>
    <row r="633">
      <c r="A633" s="6" t="s">
        <v>53</v>
      </c>
      <c r="B633" s="7">
        <v>45615</v>
      </c>
      <c r="C633" s="9">
        <f>HYPERLINK("https://eping.wto.org/en/Search?viewData= G/TBT/N/KEN/1712"," G/TBT/N/KEN/1712")</f>
      </c>
      <c r="D633" s="8" t="s">
        <v>2570</v>
      </c>
      <c r="E633" s="8" t="s">
        <v>2208</v>
      </c>
      <c r="F633" s="8" t="s">
        <v>2209</v>
      </c>
      <c r="G633" s="8" t="s">
        <v>22</v>
      </c>
      <c r="H633" s="8" t="s">
        <v>2211</v>
      </c>
      <c r="I633" s="8" t="s">
        <v>2571</v>
      </c>
      <c r="J633" s="8" t="s">
        <v>58</v>
      </c>
      <c r="K633" s="6"/>
      <c r="L633" s="7">
        <v>45675</v>
      </c>
      <c r="M633" s="6" t="s">
        <v>32</v>
      </c>
      <c r="N633" s="8" t="s">
        <v>2572</v>
      </c>
      <c r="O633" s="6">
        <f>HYPERLINK("https://docs.wto.org/imrd/directdoc.asp?DDFDocuments/t/G/TBTN24/KEN1712.DOCX", "https://docs.wto.org/imrd/directdoc.asp?DDFDocuments/t/G/TBTN24/KEN1712.DOCX")</f>
      </c>
      <c r="P633" s="6">
        <f>HYPERLINK("https://docs.wto.org/imrd/directdoc.asp?DDFDocuments/u/G/TBTN24/KEN1712.DOCX", "https://docs.wto.org/imrd/directdoc.asp?DDFDocuments/u/G/TBTN24/KEN1712.DOCX")</f>
      </c>
      <c r="Q633" s="6">
        <f>HYPERLINK("https://docs.wto.org/imrd/directdoc.asp?DDFDocuments/v/G/TBTN24/KEN1712.DOCX", "https://docs.wto.org/imrd/directdoc.asp?DDFDocuments/v/G/TBTN24/KEN1712.DOCX")</f>
      </c>
    </row>
    <row r="634">
      <c r="A634" s="6" t="s">
        <v>53</v>
      </c>
      <c r="B634" s="7">
        <v>45615</v>
      </c>
      <c r="C634" s="9">
        <f>HYPERLINK("https://eping.wto.org/en/Search?viewData= G/TBT/N/KEN/1707"," G/TBT/N/KEN/1707")</f>
      </c>
      <c r="D634" s="8" t="s">
        <v>2573</v>
      </c>
      <c r="E634" s="8" t="s">
        <v>2574</v>
      </c>
      <c r="F634" s="8" t="s">
        <v>2556</v>
      </c>
      <c r="G634" s="8" t="s">
        <v>904</v>
      </c>
      <c r="H634" s="8" t="s">
        <v>2262</v>
      </c>
      <c r="I634" s="8" t="s">
        <v>80</v>
      </c>
      <c r="J634" s="8" t="s">
        <v>58</v>
      </c>
      <c r="K634" s="6"/>
      <c r="L634" s="7">
        <v>45675</v>
      </c>
      <c r="M634" s="6" t="s">
        <v>32</v>
      </c>
      <c r="N634" s="8" t="s">
        <v>2575</v>
      </c>
      <c r="O634" s="6">
        <f>HYPERLINK("https://docs.wto.org/imrd/directdoc.asp?DDFDocuments/t/G/TBTN24/KEN1707.DOCX", "https://docs.wto.org/imrd/directdoc.asp?DDFDocuments/t/G/TBTN24/KEN1707.DOCX")</f>
      </c>
      <c r="P634" s="6">
        <f>HYPERLINK("https://docs.wto.org/imrd/directdoc.asp?DDFDocuments/u/G/TBTN24/KEN1707.DOCX", "https://docs.wto.org/imrd/directdoc.asp?DDFDocuments/u/G/TBTN24/KEN1707.DOCX")</f>
      </c>
      <c r="Q634" s="6">
        <f>HYPERLINK("https://docs.wto.org/imrd/directdoc.asp?DDFDocuments/v/G/TBTN24/KEN1707.DOCX", "https://docs.wto.org/imrd/directdoc.asp?DDFDocuments/v/G/TBTN24/KEN1707.DOCX")</f>
      </c>
    </row>
    <row r="635">
      <c r="A635" s="6" t="s">
        <v>472</v>
      </c>
      <c r="B635" s="7">
        <v>45615</v>
      </c>
      <c r="C635" s="9">
        <f>HYPERLINK("https://eping.wto.org/en/Search?viewData= G/TBT/N/JPN/843"," G/TBT/N/JPN/843")</f>
      </c>
      <c r="D635" s="8" t="s">
        <v>2576</v>
      </c>
      <c r="E635" s="8" t="s">
        <v>2577</v>
      </c>
      <c r="F635" s="8" t="s">
        <v>2578</v>
      </c>
      <c r="G635" s="8" t="s">
        <v>721</v>
      </c>
      <c r="H635" s="8" t="s">
        <v>22</v>
      </c>
      <c r="I635" s="8" t="s">
        <v>138</v>
      </c>
      <c r="J635" s="8" t="s">
        <v>139</v>
      </c>
      <c r="K635" s="6"/>
      <c r="L635" s="7">
        <v>45645</v>
      </c>
      <c r="M635" s="6" t="s">
        <v>32</v>
      </c>
      <c r="N635" s="8" t="s">
        <v>2579</v>
      </c>
      <c r="O635" s="6">
        <f>HYPERLINK("https://docs.wto.org/imrd/directdoc.asp?DDFDocuments/t/G/TBTN24/JPN843.DOCX", "https://docs.wto.org/imrd/directdoc.asp?DDFDocuments/t/G/TBTN24/JPN843.DOCX")</f>
      </c>
      <c r="P635" s="6">
        <f>HYPERLINK("https://docs.wto.org/imrd/directdoc.asp?DDFDocuments/u/G/TBTN24/JPN843.DOCX", "https://docs.wto.org/imrd/directdoc.asp?DDFDocuments/u/G/TBTN24/JPN843.DOCX")</f>
      </c>
      <c r="Q635" s="6">
        <f>HYPERLINK("https://docs.wto.org/imrd/directdoc.asp?DDFDocuments/v/G/TBTN24/JPN843.DOCX", "https://docs.wto.org/imrd/directdoc.asp?DDFDocuments/v/G/TBTN24/JPN843.DOCX")</f>
      </c>
    </row>
    <row r="636">
      <c r="A636" s="6" t="s">
        <v>53</v>
      </c>
      <c r="B636" s="7">
        <v>45615</v>
      </c>
      <c r="C636" s="9">
        <f>HYPERLINK("https://eping.wto.org/en/Search?viewData= G/TBT/N/KEN/1711"," G/TBT/N/KEN/1711")</f>
      </c>
      <c r="D636" s="8" t="s">
        <v>2580</v>
      </c>
      <c r="E636" s="8" t="s">
        <v>2265</v>
      </c>
      <c r="F636" s="8" t="s">
        <v>2209</v>
      </c>
      <c r="G636" s="8" t="s">
        <v>22</v>
      </c>
      <c r="H636" s="8" t="s">
        <v>2211</v>
      </c>
      <c r="I636" s="8" t="s">
        <v>2571</v>
      </c>
      <c r="J636" s="8" t="s">
        <v>58</v>
      </c>
      <c r="K636" s="6"/>
      <c r="L636" s="7">
        <v>45675</v>
      </c>
      <c r="M636" s="6" t="s">
        <v>32</v>
      </c>
      <c r="N636" s="8" t="s">
        <v>2581</v>
      </c>
      <c r="O636" s="6">
        <f>HYPERLINK("https://docs.wto.org/imrd/directdoc.asp?DDFDocuments/t/G/TBTN24/KEN1711.DOCX", "https://docs.wto.org/imrd/directdoc.asp?DDFDocuments/t/G/TBTN24/KEN1711.DOCX")</f>
      </c>
      <c r="P636" s="6">
        <f>HYPERLINK("https://docs.wto.org/imrd/directdoc.asp?DDFDocuments/u/G/TBTN24/KEN1711.DOCX", "https://docs.wto.org/imrd/directdoc.asp?DDFDocuments/u/G/TBTN24/KEN1711.DOCX")</f>
      </c>
      <c r="Q636" s="6">
        <f>HYPERLINK("https://docs.wto.org/imrd/directdoc.asp?DDFDocuments/v/G/TBTN24/KEN1711.DOCX", "https://docs.wto.org/imrd/directdoc.asp?DDFDocuments/v/G/TBTN24/KEN1711.DOCX")</f>
      </c>
    </row>
    <row r="637">
      <c r="A637" s="6" t="s">
        <v>418</v>
      </c>
      <c r="B637" s="7">
        <v>45615</v>
      </c>
      <c r="C637" s="9">
        <f>HYPERLINK("https://eping.wto.org/en/Search?viewData= G/TBT/N/EU/1095"," G/TBT/N/EU/1095")</f>
      </c>
      <c r="D637" s="8" t="s">
        <v>2582</v>
      </c>
      <c r="E637" s="8" t="s">
        <v>2583</v>
      </c>
      <c r="F637" s="8" t="s">
        <v>2584</v>
      </c>
      <c r="G637" s="8" t="s">
        <v>22</v>
      </c>
      <c r="H637" s="8" t="s">
        <v>2585</v>
      </c>
      <c r="I637" s="8" t="s">
        <v>619</v>
      </c>
      <c r="J637" s="8" t="s">
        <v>22</v>
      </c>
      <c r="K637" s="6"/>
      <c r="L637" s="7">
        <v>45675</v>
      </c>
      <c r="M637" s="6" t="s">
        <v>32</v>
      </c>
      <c r="N637" s="8" t="s">
        <v>2586</v>
      </c>
      <c r="O637" s="6">
        <f>HYPERLINK("https://docs.wto.org/imrd/directdoc.asp?DDFDocuments/t/G/TBTN24/EU1095.DOCX", "https://docs.wto.org/imrd/directdoc.asp?DDFDocuments/t/G/TBTN24/EU1095.DOCX")</f>
      </c>
      <c r="P637" s="6">
        <f>HYPERLINK("https://docs.wto.org/imrd/directdoc.asp?DDFDocuments/u/G/TBTN24/EU1095.DOCX", "https://docs.wto.org/imrd/directdoc.asp?DDFDocuments/u/G/TBTN24/EU1095.DOCX")</f>
      </c>
      <c r="Q637" s="6">
        <f>HYPERLINK("https://docs.wto.org/imrd/directdoc.asp?DDFDocuments/v/G/TBTN24/EU1095.DOCX", "https://docs.wto.org/imrd/directdoc.asp?DDFDocuments/v/G/TBTN24/EU1095.DOCX")</f>
      </c>
    </row>
    <row r="638">
      <c r="A638" s="6" t="s">
        <v>299</v>
      </c>
      <c r="B638" s="7">
        <v>45615</v>
      </c>
      <c r="C638" s="9">
        <f>HYPERLINK("https://eping.wto.org/en/Search?viewData= G/SPS/N/NZL/775"," G/SPS/N/NZL/775")</f>
      </c>
      <c r="D638" s="8" t="s">
        <v>2587</v>
      </c>
      <c r="E638" s="8" t="s">
        <v>2588</v>
      </c>
      <c r="F638" s="8" t="s">
        <v>2589</v>
      </c>
      <c r="G638" s="8" t="s">
        <v>2590</v>
      </c>
      <c r="H638" s="8" t="s">
        <v>22</v>
      </c>
      <c r="I638" s="8" t="s">
        <v>390</v>
      </c>
      <c r="J638" s="8" t="s">
        <v>391</v>
      </c>
      <c r="K638" s="6"/>
      <c r="L638" s="7">
        <v>45695</v>
      </c>
      <c r="M638" s="6" t="s">
        <v>32</v>
      </c>
      <c r="N638" s="8" t="s">
        <v>2591</v>
      </c>
      <c r="O638" s="6">
        <f>HYPERLINK("https://docs.wto.org/imrd/directdoc.asp?DDFDocuments/t/G/SPS/NNZL775.DOCX", "https://docs.wto.org/imrd/directdoc.asp?DDFDocuments/t/G/SPS/NNZL775.DOCX")</f>
      </c>
      <c r="P638" s="6">
        <f>HYPERLINK("https://docs.wto.org/imrd/directdoc.asp?DDFDocuments/u/G/SPS/NNZL775.DOCX", "https://docs.wto.org/imrd/directdoc.asp?DDFDocuments/u/G/SPS/NNZL775.DOCX")</f>
      </c>
      <c r="Q638" s="6">
        <f>HYPERLINK("https://docs.wto.org/imrd/directdoc.asp?DDFDocuments/v/G/SPS/NNZL775.DOCX", "https://docs.wto.org/imrd/directdoc.asp?DDFDocuments/v/G/SPS/NNZL775.DOCX")</f>
      </c>
    </row>
    <row r="639">
      <c r="A639" s="6" t="s">
        <v>53</v>
      </c>
      <c r="B639" s="7">
        <v>45615</v>
      </c>
      <c r="C639" s="9">
        <f>HYPERLINK("https://eping.wto.org/en/Search?viewData= G/TBT/N/KEN/1708"," G/TBT/N/KEN/1708")</f>
      </c>
      <c r="D639" s="8" t="s">
        <v>2592</v>
      </c>
      <c r="E639" s="8" t="s">
        <v>2593</v>
      </c>
      <c r="F639" s="8" t="s">
        <v>2594</v>
      </c>
      <c r="G639" s="8" t="s">
        <v>2328</v>
      </c>
      <c r="H639" s="8" t="s">
        <v>2329</v>
      </c>
      <c r="I639" s="8" t="s">
        <v>286</v>
      </c>
      <c r="J639" s="8" t="s">
        <v>58</v>
      </c>
      <c r="K639" s="6"/>
      <c r="L639" s="7">
        <v>45675</v>
      </c>
      <c r="M639" s="6" t="s">
        <v>32</v>
      </c>
      <c r="N639" s="8" t="s">
        <v>2595</v>
      </c>
      <c r="O639" s="6">
        <f>HYPERLINK("https://docs.wto.org/imrd/directdoc.asp?DDFDocuments/t/G/TBTN24/KEN1708.DOCX", "https://docs.wto.org/imrd/directdoc.asp?DDFDocuments/t/G/TBTN24/KEN1708.DOCX")</f>
      </c>
      <c r="P639" s="6">
        <f>HYPERLINK("https://docs.wto.org/imrd/directdoc.asp?DDFDocuments/u/G/TBTN24/KEN1708.DOCX", "https://docs.wto.org/imrd/directdoc.asp?DDFDocuments/u/G/TBTN24/KEN1708.DOCX")</f>
      </c>
      <c r="Q639" s="6">
        <f>HYPERLINK("https://docs.wto.org/imrd/directdoc.asp?DDFDocuments/v/G/TBTN24/KEN1708.DOCX", "https://docs.wto.org/imrd/directdoc.asp?DDFDocuments/v/G/TBTN24/KEN1708.DOCX")</f>
      </c>
    </row>
    <row r="640">
      <c r="A640" s="6" t="s">
        <v>132</v>
      </c>
      <c r="B640" s="7">
        <v>45615</v>
      </c>
      <c r="C640" s="9">
        <f>HYPERLINK("https://eping.wto.org/en/Search?viewData= G/SPS/N/CAN/1581"," G/SPS/N/CAN/1581")</f>
      </c>
      <c r="D640" s="8" t="s">
        <v>2596</v>
      </c>
      <c r="E640" s="8" t="s">
        <v>2597</v>
      </c>
      <c r="F640" s="8" t="s">
        <v>2598</v>
      </c>
      <c r="G640" s="8" t="s">
        <v>22</v>
      </c>
      <c r="H640" s="8" t="s">
        <v>2539</v>
      </c>
      <c r="I640" s="8" t="s">
        <v>120</v>
      </c>
      <c r="J640" s="8" t="s">
        <v>416</v>
      </c>
      <c r="K640" s="6" t="s">
        <v>22</v>
      </c>
      <c r="L640" s="7">
        <v>45304</v>
      </c>
      <c r="M640" s="6" t="s">
        <v>32</v>
      </c>
      <c r="N640" s="6"/>
      <c r="O640" s="6">
        <f>HYPERLINK("https://docs.wto.org/imrd/directdoc.asp?DDFDocuments/t/G/SPS/NCAN1581.DOCX", "https://docs.wto.org/imrd/directdoc.asp?DDFDocuments/t/G/SPS/NCAN1581.DOCX")</f>
      </c>
      <c r="P640" s="6">
        <f>HYPERLINK("https://docs.wto.org/imrd/directdoc.asp?DDFDocuments/u/G/SPS/NCAN1581.DOCX", "https://docs.wto.org/imrd/directdoc.asp?DDFDocuments/u/G/SPS/NCAN1581.DOCX")</f>
      </c>
      <c r="Q640" s="6">
        <f>HYPERLINK("https://docs.wto.org/imrd/directdoc.asp?DDFDocuments/v/G/SPS/NCAN1581.DOCX", "https://docs.wto.org/imrd/directdoc.asp?DDFDocuments/v/G/SPS/NCAN1581.DOCX")</f>
      </c>
    </row>
    <row r="641">
      <c r="A641" s="6" t="s">
        <v>132</v>
      </c>
      <c r="B641" s="7">
        <v>45615</v>
      </c>
      <c r="C641" s="9">
        <f>HYPERLINK("https://eping.wto.org/en/Search?viewData= G/TBT/N/CAN/711/Add.1"," G/TBT/N/CAN/711/Add.1")</f>
      </c>
      <c r="D641" s="8" t="s">
        <v>2599</v>
      </c>
      <c r="E641" s="8" t="s">
        <v>2600</v>
      </c>
      <c r="F641" s="8" t="s">
        <v>2601</v>
      </c>
      <c r="G641" s="8" t="s">
        <v>22</v>
      </c>
      <c r="H641" s="8" t="s">
        <v>2602</v>
      </c>
      <c r="I641" s="8" t="s">
        <v>138</v>
      </c>
      <c r="J641" s="8" t="s">
        <v>2603</v>
      </c>
      <c r="K641" s="6"/>
      <c r="L641" s="7" t="s">
        <v>22</v>
      </c>
      <c r="M641" s="6" t="s">
        <v>40</v>
      </c>
      <c r="N641" s="6"/>
      <c r="O641" s="6">
        <f>HYPERLINK("https://docs.wto.org/imrd/directdoc.asp?DDFDocuments/t/G/TBTN24/CAN711A1.DOCX", "https://docs.wto.org/imrd/directdoc.asp?DDFDocuments/t/G/TBTN24/CAN711A1.DOCX")</f>
      </c>
      <c r="P641" s="6">
        <f>HYPERLINK("https://docs.wto.org/imrd/directdoc.asp?DDFDocuments/u/G/TBTN24/CAN711A1.DOCX", "https://docs.wto.org/imrd/directdoc.asp?DDFDocuments/u/G/TBTN24/CAN711A1.DOCX")</f>
      </c>
      <c r="Q641" s="6">
        <f>HYPERLINK("https://docs.wto.org/imrd/directdoc.asp?DDFDocuments/v/G/TBTN24/CAN711A1.DOCX", "https://docs.wto.org/imrd/directdoc.asp?DDFDocuments/v/G/TBTN24/CAN711A1.DOCX")</f>
      </c>
    </row>
    <row r="642">
      <c r="A642" s="6" t="s">
        <v>1989</v>
      </c>
      <c r="B642" s="7">
        <v>45615</v>
      </c>
      <c r="C642" s="9">
        <f>HYPERLINK("https://eping.wto.org/en/Search?viewData= G/SPS/N/TUR/99/Add.4"," G/SPS/N/TUR/99/Add.4")</f>
      </c>
      <c r="D642" s="8" t="s">
        <v>2604</v>
      </c>
      <c r="E642" s="8" t="s">
        <v>2605</v>
      </c>
      <c r="F642" s="8" t="s">
        <v>2606</v>
      </c>
      <c r="G642" s="8" t="s">
        <v>2607</v>
      </c>
      <c r="H642" s="8" t="s">
        <v>22</v>
      </c>
      <c r="I642" s="8" t="s">
        <v>120</v>
      </c>
      <c r="J642" s="8" t="s">
        <v>2608</v>
      </c>
      <c r="K642" s="6"/>
      <c r="L642" s="7">
        <v>45658</v>
      </c>
      <c r="M642" s="6" t="s">
        <v>40</v>
      </c>
      <c r="N642" s="8" t="s">
        <v>2609</v>
      </c>
      <c r="O642" s="6">
        <f>HYPERLINK("https://docs.wto.org/imrd/directdoc.asp?DDFDocuments/t/G/SPS/NTUR99A4.DOCX", "https://docs.wto.org/imrd/directdoc.asp?DDFDocuments/t/G/SPS/NTUR99A4.DOCX")</f>
      </c>
      <c r="P642" s="6">
        <f>HYPERLINK("https://docs.wto.org/imrd/directdoc.asp?DDFDocuments/u/G/SPS/NTUR99A4.DOCX", "https://docs.wto.org/imrd/directdoc.asp?DDFDocuments/u/G/SPS/NTUR99A4.DOCX")</f>
      </c>
      <c r="Q642" s="6">
        <f>HYPERLINK("https://docs.wto.org/imrd/directdoc.asp?DDFDocuments/v/G/SPS/NTUR99A4.DOCX", "https://docs.wto.org/imrd/directdoc.asp?DDFDocuments/v/G/SPS/NTUR99A4.DOCX")</f>
      </c>
    </row>
    <row r="643">
      <c r="A643" s="6" t="s">
        <v>1989</v>
      </c>
      <c r="B643" s="7">
        <v>45615</v>
      </c>
      <c r="C643" s="9">
        <f>HYPERLINK("https://eping.wto.org/en/Search?viewData= G/TBT/N/TUR/120/Add.4"," G/TBT/N/TUR/120/Add.4")</f>
      </c>
      <c r="D643" s="8" t="s">
        <v>2610</v>
      </c>
      <c r="E643" s="8" t="s">
        <v>2611</v>
      </c>
      <c r="F643" s="8" t="s">
        <v>2606</v>
      </c>
      <c r="G643" s="8" t="s">
        <v>22</v>
      </c>
      <c r="H643" s="8" t="s">
        <v>2612</v>
      </c>
      <c r="I643" s="8" t="s">
        <v>39</v>
      </c>
      <c r="J643" s="8" t="s">
        <v>81</v>
      </c>
      <c r="K643" s="6"/>
      <c r="L643" s="7">
        <v>45658</v>
      </c>
      <c r="M643" s="6" t="s">
        <v>40</v>
      </c>
      <c r="N643" s="8" t="s">
        <v>2613</v>
      </c>
      <c r="O643" s="6">
        <f>HYPERLINK("https://docs.wto.org/imrd/directdoc.asp?DDFDocuments/t/G/TBTN18/TUR120A4.DOCX", "https://docs.wto.org/imrd/directdoc.asp?DDFDocuments/t/G/TBTN18/TUR120A4.DOCX")</f>
      </c>
      <c r="P643" s="6">
        <f>HYPERLINK("https://docs.wto.org/imrd/directdoc.asp?DDFDocuments/u/G/TBTN18/TUR120A4.DOCX", "https://docs.wto.org/imrd/directdoc.asp?DDFDocuments/u/G/TBTN18/TUR120A4.DOCX")</f>
      </c>
      <c r="Q643" s="6">
        <f>HYPERLINK("https://docs.wto.org/imrd/directdoc.asp?DDFDocuments/v/G/TBTN18/TUR120A4.DOCX", "https://docs.wto.org/imrd/directdoc.asp?DDFDocuments/v/G/TBTN18/TUR120A4.DOCX")</f>
      </c>
    </row>
    <row r="644">
      <c r="A644" s="6" t="s">
        <v>847</v>
      </c>
      <c r="B644" s="7">
        <v>45615</v>
      </c>
      <c r="C644" s="9">
        <f>HYPERLINK("https://eping.wto.org/en/Search?viewData= G/TBT/N/UKR/320"," G/TBT/N/UKR/320")</f>
      </c>
      <c r="D644" s="8" t="s">
        <v>2614</v>
      </c>
      <c r="E644" s="8" t="s">
        <v>2615</v>
      </c>
      <c r="F644" s="8" t="s">
        <v>2616</v>
      </c>
      <c r="G644" s="8" t="s">
        <v>22</v>
      </c>
      <c r="H644" s="8" t="s">
        <v>1924</v>
      </c>
      <c r="I644" s="8" t="s">
        <v>2617</v>
      </c>
      <c r="J644" s="8" t="s">
        <v>139</v>
      </c>
      <c r="K644" s="6"/>
      <c r="L644" s="7">
        <v>45675</v>
      </c>
      <c r="M644" s="6" t="s">
        <v>32</v>
      </c>
      <c r="N644" s="8" t="s">
        <v>2618</v>
      </c>
      <c r="O644" s="6">
        <f>HYPERLINK("https://docs.wto.org/imrd/directdoc.asp?DDFDocuments/t/G/TBTN24/UKR320.DOCX", "https://docs.wto.org/imrd/directdoc.asp?DDFDocuments/t/G/TBTN24/UKR320.DOCX")</f>
      </c>
      <c r="P644" s="6">
        <f>HYPERLINK("https://docs.wto.org/imrd/directdoc.asp?DDFDocuments/u/G/TBTN24/UKR320.DOCX", "https://docs.wto.org/imrd/directdoc.asp?DDFDocuments/u/G/TBTN24/UKR320.DOCX")</f>
      </c>
      <c r="Q644" s="6">
        <f>HYPERLINK("https://docs.wto.org/imrd/directdoc.asp?DDFDocuments/v/G/TBTN24/UKR320.DOCX", "https://docs.wto.org/imrd/directdoc.asp?DDFDocuments/v/G/TBTN24/UKR320.DOCX")</f>
      </c>
    </row>
    <row r="645">
      <c r="A645" s="6" t="s">
        <v>299</v>
      </c>
      <c r="B645" s="7">
        <v>45615</v>
      </c>
      <c r="C645" s="9">
        <f>HYPERLINK("https://eping.wto.org/en/Search?viewData= G/TBT/N/NZL/142"," G/TBT/N/NZL/142")</f>
      </c>
      <c r="D645" s="8" t="s">
        <v>2619</v>
      </c>
      <c r="E645" s="8" t="s">
        <v>2620</v>
      </c>
      <c r="F645" s="8" t="s">
        <v>2621</v>
      </c>
      <c r="G645" s="8" t="s">
        <v>2622</v>
      </c>
      <c r="H645" s="8" t="s">
        <v>2400</v>
      </c>
      <c r="I645" s="8" t="s">
        <v>138</v>
      </c>
      <c r="J645" s="8" t="s">
        <v>22</v>
      </c>
      <c r="K645" s="6"/>
      <c r="L645" s="7">
        <v>45675</v>
      </c>
      <c r="M645" s="6" t="s">
        <v>32</v>
      </c>
      <c r="N645" s="8" t="s">
        <v>2623</v>
      </c>
      <c r="O645" s="6">
        <f>HYPERLINK("https://docs.wto.org/imrd/directdoc.asp?DDFDocuments/t/G/TBTN24/NZL142.DOCX", "https://docs.wto.org/imrd/directdoc.asp?DDFDocuments/t/G/TBTN24/NZL142.DOCX")</f>
      </c>
      <c r="P645" s="6">
        <f>HYPERLINK("https://docs.wto.org/imrd/directdoc.asp?DDFDocuments/u/G/TBTN24/NZL142.DOCX", "https://docs.wto.org/imrd/directdoc.asp?DDFDocuments/u/G/TBTN24/NZL142.DOCX")</f>
      </c>
      <c r="Q645" s="6">
        <f>HYPERLINK("https://docs.wto.org/imrd/directdoc.asp?DDFDocuments/v/G/TBTN24/NZL142.DOCX", "https://docs.wto.org/imrd/directdoc.asp?DDFDocuments/v/G/TBTN24/NZL142.DOCX")</f>
      </c>
    </row>
    <row r="646">
      <c r="A646" s="6" t="s">
        <v>82</v>
      </c>
      <c r="B646" s="7">
        <v>45615</v>
      </c>
      <c r="C646" s="9">
        <f>HYPERLINK("https://eping.wto.org/en/Search?viewData= G/TBT/N/BRA/1398/Add.1"," G/TBT/N/BRA/1398/Add.1")</f>
      </c>
      <c r="D646" s="8" t="s">
        <v>2624</v>
      </c>
      <c r="E646" s="8" t="s">
        <v>2625</v>
      </c>
      <c r="F646" s="8" t="s">
        <v>2626</v>
      </c>
      <c r="G646" s="8" t="s">
        <v>2627</v>
      </c>
      <c r="H646" s="8" t="s">
        <v>2628</v>
      </c>
      <c r="I646" s="8" t="s">
        <v>138</v>
      </c>
      <c r="J646" s="8" t="s">
        <v>81</v>
      </c>
      <c r="K646" s="6"/>
      <c r="L646" s="7" t="s">
        <v>22</v>
      </c>
      <c r="M646" s="6" t="s">
        <v>40</v>
      </c>
      <c r="N646" s="6"/>
      <c r="O646" s="6">
        <f>HYPERLINK("https://docs.wto.org/imrd/directdoc.asp?DDFDocuments/t/G/TBTN22/BRA1398A1.DOCX", "https://docs.wto.org/imrd/directdoc.asp?DDFDocuments/t/G/TBTN22/BRA1398A1.DOCX")</f>
      </c>
      <c r="P646" s="6">
        <f>HYPERLINK("https://docs.wto.org/imrd/directdoc.asp?DDFDocuments/u/G/TBTN22/BRA1398A1.DOCX", "https://docs.wto.org/imrd/directdoc.asp?DDFDocuments/u/G/TBTN22/BRA1398A1.DOCX")</f>
      </c>
      <c r="Q646" s="6">
        <f>HYPERLINK("https://docs.wto.org/imrd/directdoc.asp?DDFDocuments/v/G/TBTN22/BRA1398A1.DOCX", "https://docs.wto.org/imrd/directdoc.asp?DDFDocuments/v/G/TBTN22/BRA1398A1.DOCX")</f>
      </c>
    </row>
    <row r="647">
      <c r="A647" s="6" t="s">
        <v>847</v>
      </c>
      <c r="B647" s="7">
        <v>45615</v>
      </c>
      <c r="C647" s="9">
        <f>HYPERLINK("https://eping.wto.org/en/Search?viewData= G/TBT/N/UKR/317"," G/TBT/N/UKR/317")</f>
      </c>
      <c r="D647" s="8" t="s">
        <v>2629</v>
      </c>
      <c r="E647" s="8" t="s">
        <v>2630</v>
      </c>
      <c r="F647" s="8" t="s">
        <v>2631</v>
      </c>
      <c r="G647" s="8" t="s">
        <v>22</v>
      </c>
      <c r="H647" s="8" t="s">
        <v>2632</v>
      </c>
      <c r="I647" s="8" t="s">
        <v>2633</v>
      </c>
      <c r="J647" s="8" t="s">
        <v>22</v>
      </c>
      <c r="K647" s="6"/>
      <c r="L647" s="7">
        <v>45675</v>
      </c>
      <c r="M647" s="6" t="s">
        <v>32</v>
      </c>
      <c r="N647" s="8" t="s">
        <v>2634</v>
      </c>
      <c r="O647" s="6">
        <f>HYPERLINK("https://docs.wto.org/imrd/directdoc.asp?DDFDocuments/t/G/TBTN24/UKR317.DOCX", "https://docs.wto.org/imrd/directdoc.asp?DDFDocuments/t/G/TBTN24/UKR317.DOCX")</f>
      </c>
      <c r="P647" s="6">
        <f>HYPERLINK("https://docs.wto.org/imrd/directdoc.asp?DDFDocuments/u/G/TBTN24/UKR317.DOCX", "https://docs.wto.org/imrd/directdoc.asp?DDFDocuments/u/G/TBTN24/UKR317.DOCX")</f>
      </c>
      <c r="Q647" s="6">
        <f>HYPERLINK("https://docs.wto.org/imrd/directdoc.asp?DDFDocuments/v/G/TBTN24/UKR317.DOCX", "https://docs.wto.org/imrd/directdoc.asp?DDFDocuments/v/G/TBTN24/UKR317.DOCX")</f>
      </c>
    </row>
    <row r="648">
      <c r="A648" s="6" t="s">
        <v>2635</v>
      </c>
      <c r="B648" s="7">
        <v>45615</v>
      </c>
      <c r="C648" s="9">
        <f>HYPERLINK("https://eping.wto.org/en/Search?viewData= G/TBT/N/SVN/128"," G/TBT/N/SVN/128")</f>
      </c>
      <c r="D648" s="8" t="s">
        <v>2636</v>
      </c>
      <c r="E648" s="8" t="s">
        <v>2637</v>
      </c>
      <c r="F648" s="8" t="s">
        <v>56</v>
      </c>
      <c r="G648" s="8" t="s">
        <v>22</v>
      </c>
      <c r="H648" s="8" t="s">
        <v>57</v>
      </c>
      <c r="I648" s="8" t="s">
        <v>760</v>
      </c>
      <c r="J648" s="8" t="s">
        <v>2638</v>
      </c>
      <c r="K648" s="6"/>
      <c r="L648" s="7">
        <v>45675</v>
      </c>
      <c r="M648" s="6" t="s">
        <v>32</v>
      </c>
      <c r="N648" s="8" t="s">
        <v>2639</v>
      </c>
      <c r="O648" s="6">
        <f>HYPERLINK("https://docs.wto.org/imrd/directdoc.asp?DDFDocuments/t/G/TBTN24/SVN128.DOCX", "https://docs.wto.org/imrd/directdoc.asp?DDFDocuments/t/G/TBTN24/SVN128.DOCX")</f>
      </c>
      <c r="P648" s="6">
        <f>HYPERLINK("https://docs.wto.org/imrd/directdoc.asp?DDFDocuments/u/G/TBTN24/SVN128.DOCX", "https://docs.wto.org/imrd/directdoc.asp?DDFDocuments/u/G/TBTN24/SVN128.DOCX")</f>
      </c>
      <c r="Q648" s="6">
        <f>HYPERLINK("https://docs.wto.org/imrd/directdoc.asp?DDFDocuments/v/G/TBTN24/SVN128.DOCX", "https://docs.wto.org/imrd/directdoc.asp?DDFDocuments/v/G/TBTN24/SVN128.DOCX")</f>
      </c>
    </row>
    <row r="649">
      <c r="A649" s="6" t="s">
        <v>847</v>
      </c>
      <c r="B649" s="7">
        <v>45615</v>
      </c>
      <c r="C649" s="9">
        <f>HYPERLINK("https://eping.wto.org/en/Search?viewData= G/TBT/N/UKR/318"," G/TBT/N/UKR/318")</f>
      </c>
      <c r="D649" s="8" t="s">
        <v>2640</v>
      </c>
      <c r="E649" s="8" t="s">
        <v>2641</v>
      </c>
      <c r="F649" s="8" t="s">
        <v>758</v>
      </c>
      <c r="G649" s="8" t="s">
        <v>721</v>
      </c>
      <c r="H649" s="8" t="s">
        <v>1169</v>
      </c>
      <c r="I649" s="8" t="s">
        <v>2642</v>
      </c>
      <c r="J649" s="8" t="s">
        <v>139</v>
      </c>
      <c r="K649" s="6"/>
      <c r="L649" s="7">
        <v>45675</v>
      </c>
      <c r="M649" s="6" t="s">
        <v>32</v>
      </c>
      <c r="N649" s="8" t="s">
        <v>2643</v>
      </c>
      <c r="O649" s="6">
        <f>HYPERLINK("https://docs.wto.org/imrd/directdoc.asp?DDFDocuments/t/G/TBTN24/UKR318.DOCX", "https://docs.wto.org/imrd/directdoc.asp?DDFDocuments/t/G/TBTN24/UKR318.DOCX")</f>
      </c>
      <c r="P649" s="6">
        <f>HYPERLINK("https://docs.wto.org/imrd/directdoc.asp?DDFDocuments/u/G/TBTN24/UKR318.DOCX", "https://docs.wto.org/imrd/directdoc.asp?DDFDocuments/u/G/TBTN24/UKR318.DOCX")</f>
      </c>
      <c r="Q649" s="6">
        <f>HYPERLINK("https://docs.wto.org/imrd/directdoc.asp?DDFDocuments/v/G/TBTN24/UKR318.DOCX", "https://docs.wto.org/imrd/directdoc.asp?DDFDocuments/v/G/TBTN24/UKR318.DOCX")</f>
      </c>
    </row>
    <row r="650">
      <c r="A650" s="6" t="s">
        <v>1443</v>
      </c>
      <c r="B650" s="7">
        <v>45614</v>
      </c>
      <c r="C650" s="9">
        <f>HYPERLINK("https://eping.wto.org/en/Search?viewData= G/TBT/N/IDN/170"," G/TBT/N/IDN/170")</f>
      </c>
      <c r="D650" s="8" t="s">
        <v>2644</v>
      </c>
      <c r="E650" s="8" t="s">
        <v>2645</v>
      </c>
      <c r="F650" s="8" t="s">
        <v>2646</v>
      </c>
      <c r="G650" s="8" t="s">
        <v>2647</v>
      </c>
      <c r="H650" s="8" t="s">
        <v>2648</v>
      </c>
      <c r="I650" s="8" t="s">
        <v>2649</v>
      </c>
      <c r="J650" s="8" t="s">
        <v>22</v>
      </c>
      <c r="K650" s="6"/>
      <c r="L650" s="7">
        <v>45674</v>
      </c>
      <c r="M650" s="6" t="s">
        <v>32</v>
      </c>
      <c r="N650" s="8" t="s">
        <v>2650</v>
      </c>
      <c r="O650" s="6">
        <f>HYPERLINK("https://docs.wto.org/imrd/directdoc.asp?DDFDocuments/t/G/TBTN24/IDN170.DOCX", "https://docs.wto.org/imrd/directdoc.asp?DDFDocuments/t/G/TBTN24/IDN170.DOCX")</f>
      </c>
      <c r="P650" s="6">
        <f>HYPERLINK("https://docs.wto.org/imrd/directdoc.asp?DDFDocuments/u/G/TBTN24/IDN170.DOCX", "https://docs.wto.org/imrd/directdoc.asp?DDFDocuments/u/G/TBTN24/IDN170.DOCX")</f>
      </c>
      <c r="Q650" s="6">
        <f>HYPERLINK("https://docs.wto.org/imrd/directdoc.asp?DDFDocuments/v/G/TBTN24/IDN170.DOCX", "https://docs.wto.org/imrd/directdoc.asp?DDFDocuments/v/G/TBTN24/IDN170.DOCX")</f>
      </c>
    </row>
    <row r="651">
      <c r="A651" s="6" t="s">
        <v>1443</v>
      </c>
      <c r="B651" s="7">
        <v>45614</v>
      </c>
      <c r="C651" s="9">
        <f>HYPERLINK("https://eping.wto.org/en/Search?viewData= G/TBT/N/IDN/171"," G/TBT/N/IDN/171")</f>
      </c>
      <c r="D651" s="8" t="s">
        <v>2651</v>
      </c>
      <c r="E651" s="8" t="s">
        <v>2652</v>
      </c>
      <c r="F651" s="8" t="s">
        <v>2653</v>
      </c>
      <c r="G651" s="8" t="s">
        <v>2647</v>
      </c>
      <c r="H651" s="8" t="s">
        <v>2648</v>
      </c>
      <c r="I651" s="8" t="s">
        <v>2649</v>
      </c>
      <c r="J651" s="8" t="s">
        <v>22</v>
      </c>
      <c r="K651" s="6"/>
      <c r="L651" s="7">
        <v>45674</v>
      </c>
      <c r="M651" s="6" t="s">
        <v>32</v>
      </c>
      <c r="N651" s="8" t="s">
        <v>2654</v>
      </c>
      <c r="O651" s="6">
        <f>HYPERLINK("https://docs.wto.org/imrd/directdoc.asp?DDFDocuments/t/G/TBTN24/IDN171.DOCX", "https://docs.wto.org/imrd/directdoc.asp?DDFDocuments/t/G/TBTN24/IDN171.DOCX")</f>
      </c>
      <c r="P651" s="6">
        <f>HYPERLINK("https://docs.wto.org/imrd/directdoc.asp?DDFDocuments/u/G/TBTN24/IDN171.DOCX", "https://docs.wto.org/imrd/directdoc.asp?DDFDocuments/u/G/TBTN24/IDN171.DOCX")</f>
      </c>
      <c r="Q651" s="6">
        <f>HYPERLINK("https://docs.wto.org/imrd/directdoc.asp?DDFDocuments/v/G/TBTN24/IDN171.DOCX", "https://docs.wto.org/imrd/directdoc.asp?DDFDocuments/v/G/TBTN24/IDN171.DOCX")</f>
      </c>
    </row>
    <row r="652">
      <c r="A652" s="6" t="s">
        <v>343</v>
      </c>
      <c r="B652" s="7">
        <v>45614</v>
      </c>
      <c r="C652" s="9">
        <f>HYPERLINK("https://eping.wto.org/en/Search?viewData= G/TBT/N/THA/556/Add.1"," G/TBT/N/THA/556/Add.1")</f>
      </c>
      <c r="D652" s="8" t="s">
        <v>2655</v>
      </c>
      <c r="E652" s="8" t="s">
        <v>2656</v>
      </c>
      <c r="F652" s="8" t="s">
        <v>2657</v>
      </c>
      <c r="G652" s="8" t="s">
        <v>2658</v>
      </c>
      <c r="H652" s="8" t="s">
        <v>741</v>
      </c>
      <c r="I652" s="8" t="s">
        <v>380</v>
      </c>
      <c r="J652" s="8" t="s">
        <v>266</v>
      </c>
      <c r="K652" s="6"/>
      <c r="L652" s="7" t="s">
        <v>22</v>
      </c>
      <c r="M652" s="6" t="s">
        <v>40</v>
      </c>
      <c r="N652" s="8" t="s">
        <v>2659</v>
      </c>
      <c r="O652" s="6">
        <f>HYPERLINK("https://docs.wto.org/imrd/directdoc.asp?DDFDocuments/t/G/TBTN19/THA556A1.DOCX", "https://docs.wto.org/imrd/directdoc.asp?DDFDocuments/t/G/TBTN19/THA556A1.DOCX")</f>
      </c>
      <c r="P652" s="6">
        <f>HYPERLINK("https://docs.wto.org/imrd/directdoc.asp?DDFDocuments/u/G/TBTN19/THA556A1.DOCX", "https://docs.wto.org/imrd/directdoc.asp?DDFDocuments/u/G/TBTN19/THA556A1.DOCX")</f>
      </c>
      <c r="Q652" s="6">
        <f>HYPERLINK("https://docs.wto.org/imrd/directdoc.asp?DDFDocuments/v/G/TBTN19/THA556A1.DOCX", "https://docs.wto.org/imrd/directdoc.asp?DDFDocuments/v/G/TBTN19/THA556A1.DOCX")</f>
      </c>
    </row>
    <row r="653">
      <c r="A653" s="6" t="s">
        <v>132</v>
      </c>
      <c r="B653" s="7">
        <v>45614</v>
      </c>
      <c r="C653" s="9">
        <f>HYPERLINK("https://eping.wto.org/en/Search?viewData= G/SPS/N/CAN/1579"," G/SPS/N/CAN/1579")</f>
      </c>
      <c r="D653" s="8" t="s">
        <v>2660</v>
      </c>
      <c r="E653" s="8" t="s">
        <v>2661</v>
      </c>
      <c r="F653" s="8" t="s">
        <v>2662</v>
      </c>
      <c r="G653" s="8" t="s">
        <v>22</v>
      </c>
      <c r="H653" s="8" t="s">
        <v>2663</v>
      </c>
      <c r="I653" s="8" t="s">
        <v>120</v>
      </c>
      <c r="J653" s="8" t="s">
        <v>121</v>
      </c>
      <c r="K653" s="6" t="s">
        <v>22</v>
      </c>
      <c r="L653" s="7">
        <v>45685</v>
      </c>
      <c r="M653" s="6" t="s">
        <v>32</v>
      </c>
      <c r="N653" s="6"/>
      <c r="O653" s="6">
        <f>HYPERLINK("https://docs.wto.org/imrd/directdoc.asp?DDFDocuments/t/G/SPS/NCAN1579.DOCX", "https://docs.wto.org/imrd/directdoc.asp?DDFDocuments/t/G/SPS/NCAN1579.DOCX")</f>
      </c>
      <c r="P653" s="6">
        <f>HYPERLINK("https://docs.wto.org/imrd/directdoc.asp?DDFDocuments/u/G/SPS/NCAN1579.DOCX", "https://docs.wto.org/imrd/directdoc.asp?DDFDocuments/u/G/SPS/NCAN1579.DOCX")</f>
      </c>
      <c r="Q653" s="6">
        <f>HYPERLINK("https://docs.wto.org/imrd/directdoc.asp?DDFDocuments/v/G/SPS/NCAN1579.DOCX", "https://docs.wto.org/imrd/directdoc.asp?DDFDocuments/v/G/SPS/NCAN1579.DOCX")</f>
      </c>
    </row>
    <row r="654">
      <c r="A654" s="6" t="s">
        <v>34</v>
      </c>
      <c r="B654" s="7">
        <v>45614</v>
      </c>
      <c r="C654" s="9">
        <f>HYPERLINK("https://eping.wto.org/en/Search?viewData= G/SPS/N/TPKM/631/Add.1"," G/SPS/N/TPKM/631/Add.1")</f>
      </c>
      <c r="D654" s="8" t="s">
        <v>2664</v>
      </c>
      <c r="E654" s="8" t="s">
        <v>2665</v>
      </c>
      <c r="F654" s="8" t="s">
        <v>2666</v>
      </c>
      <c r="G654" s="8" t="s">
        <v>2667</v>
      </c>
      <c r="H654" s="8" t="s">
        <v>22</v>
      </c>
      <c r="I654" s="8" t="s">
        <v>120</v>
      </c>
      <c r="J654" s="8" t="s">
        <v>2668</v>
      </c>
      <c r="K654" s="6"/>
      <c r="L654" s="7" t="s">
        <v>22</v>
      </c>
      <c r="M654" s="6" t="s">
        <v>40</v>
      </c>
      <c r="N654" s="8" t="s">
        <v>2669</v>
      </c>
      <c r="O654" s="6">
        <f>HYPERLINK("https://docs.wto.org/imrd/directdoc.asp?DDFDocuments/t/G/SPS/NTPKM631A1.DOCX", "https://docs.wto.org/imrd/directdoc.asp?DDFDocuments/t/G/SPS/NTPKM631A1.DOCX")</f>
      </c>
      <c r="P654" s="6">
        <f>HYPERLINK("https://docs.wto.org/imrd/directdoc.asp?DDFDocuments/u/G/SPS/NTPKM631A1.DOCX", "https://docs.wto.org/imrd/directdoc.asp?DDFDocuments/u/G/SPS/NTPKM631A1.DOCX")</f>
      </c>
      <c r="Q654" s="6">
        <f>HYPERLINK("https://docs.wto.org/imrd/directdoc.asp?DDFDocuments/v/G/SPS/NTPKM631A1.DOCX", "https://docs.wto.org/imrd/directdoc.asp?DDFDocuments/v/G/SPS/NTPKM631A1.DOCX")</f>
      </c>
    </row>
    <row r="655">
      <c r="A655" s="6" t="s">
        <v>2670</v>
      </c>
      <c r="B655" s="7">
        <v>45611</v>
      </c>
      <c r="C655" s="9">
        <f>HYPERLINK("https://eping.wto.org/en/Search?viewData= G/TBT/N/MWI/123"," G/TBT/N/MWI/123")</f>
      </c>
      <c r="D655" s="8" t="s">
        <v>2671</v>
      </c>
      <c r="E655" s="8" t="s">
        <v>2672</v>
      </c>
      <c r="F655" s="8" t="s">
        <v>2673</v>
      </c>
      <c r="G655" s="8" t="s">
        <v>2674</v>
      </c>
      <c r="H655" s="8" t="s">
        <v>2675</v>
      </c>
      <c r="I655" s="8" t="s">
        <v>272</v>
      </c>
      <c r="J655" s="8" t="s">
        <v>58</v>
      </c>
      <c r="K655" s="6"/>
      <c r="L655" s="7">
        <v>45671</v>
      </c>
      <c r="M655" s="6" t="s">
        <v>32</v>
      </c>
      <c r="N655" s="8" t="s">
        <v>2676</v>
      </c>
      <c r="O655" s="6">
        <f>HYPERLINK("https://docs.wto.org/imrd/directdoc.asp?DDFDocuments/t/G/TBTN24/MWI123.DOCX", "https://docs.wto.org/imrd/directdoc.asp?DDFDocuments/t/G/TBTN24/MWI123.DOCX")</f>
      </c>
      <c r="P655" s="6">
        <f>HYPERLINK("https://docs.wto.org/imrd/directdoc.asp?DDFDocuments/u/G/TBTN24/MWI123.DOCX", "https://docs.wto.org/imrd/directdoc.asp?DDFDocuments/u/G/TBTN24/MWI123.DOCX")</f>
      </c>
      <c r="Q655" s="6">
        <f>HYPERLINK("https://docs.wto.org/imrd/directdoc.asp?DDFDocuments/v/G/TBTN24/MWI123.DOCX", "https://docs.wto.org/imrd/directdoc.asp?DDFDocuments/v/G/TBTN24/MWI123.DOCX")</f>
      </c>
    </row>
    <row r="656">
      <c r="A656" s="6" t="s">
        <v>2670</v>
      </c>
      <c r="B656" s="7">
        <v>45611</v>
      </c>
      <c r="C656" s="9">
        <f>HYPERLINK("https://eping.wto.org/en/Search?viewData= G/TBT/N/MWI/116"," G/TBT/N/MWI/116")</f>
      </c>
      <c r="D656" s="8" t="s">
        <v>2677</v>
      </c>
      <c r="E656" s="8" t="s">
        <v>2678</v>
      </c>
      <c r="F656" s="8" t="s">
        <v>2679</v>
      </c>
      <c r="G656" s="8" t="s">
        <v>2674</v>
      </c>
      <c r="H656" s="8" t="s">
        <v>2256</v>
      </c>
      <c r="I656" s="8" t="s">
        <v>272</v>
      </c>
      <c r="J656" s="8" t="s">
        <v>58</v>
      </c>
      <c r="K656" s="6"/>
      <c r="L656" s="7">
        <v>45671</v>
      </c>
      <c r="M656" s="6" t="s">
        <v>32</v>
      </c>
      <c r="N656" s="8" t="s">
        <v>2680</v>
      </c>
      <c r="O656" s="6">
        <f>HYPERLINK("https://docs.wto.org/imrd/directdoc.asp?DDFDocuments/t/G/TBTN24/MWI116.DOCX", "https://docs.wto.org/imrd/directdoc.asp?DDFDocuments/t/G/TBTN24/MWI116.DOCX")</f>
      </c>
      <c r="P656" s="6">
        <f>HYPERLINK("https://docs.wto.org/imrd/directdoc.asp?DDFDocuments/u/G/TBTN24/MWI116.DOCX", "https://docs.wto.org/imrd/directdoc.asp?DDFDocuments/u/G/TBTN24/MWI116.DOCX")</f>
      </c>
      <c r="Q656" s="6">
        <f>HYPERLINK("https://docs.wto.org/imrd/directdoc.asp?DDFDocuments/v/G/TBTN24/MWI116.DOCX", "https://docs.wto.org/imrd/directdoc.asp?DDFDocuments/v/G/TBTN24/MWI116.DOCX")</f>
      </c>
    </row>
    <row r="657">
      <c r="A657" s="6" t="s">
        <v>343</v>
      </c>
      <c r="B657" s="7">
        <v>45611</v>
      </c>
      <c r="C657" s="9">
        <f>HYPERLINK("https://eping.wto.org/en/Search?viewData= G/SPS/N/THA/772"," G/SPS/N/THA/772")</f>
      </c>
      <c r="D657" s="8" t="s">
        <v>2681</v>
      </c>
      <c r="E657" s="8" t="s">
        <v>2682</v>
      </c>
      <c r="F657" s="8" t="s">
        <v>2683</v>
      </c>
      <c r="G657" s="8" t="s">
        <v>2684</v>
      </c>
      <c r="H657" s="8" t="s">
        <v>22</v>
      </c>
      <c r="I657" s="8" t="s">
        <v>348</v>
      </c>
      <c r="J657" s="8" t="s">
        <v>2685</v>
      </c>
      <c r="K657" s="6" t="s">
        <v>874</v>
      </c>
      <c r="L657" s="7" t="s">
        <v>22</v>
      </c>
      <c r="M657" s="6" t="s">
        <v>331</v>
      </c>
      <c r="N657" s="6"/>
      <c r="O657" s="6">
        <f>HYPERLINK("https://docs.wto.org/imrd/directdoc.asp?DDFDocuments/t/G/SPS/NTHA772.DOCX", "https://docs.wto.org/imrd/directdoc.asp?DDFDocuments/t/G/SPS/NTHA772.DOCX")</f>
      </c>
      <c r="P657" s="6">
        <f>HYPERLINK("https://docs.wto.org/imrd/directdoc.asp?DDFDocuments/u/G/SPS/NTHA772.DOCX", "https://docs.wto.org/imrd/directdoc.asp?DDFDocuments/u/G/SPS/NTHA772.DOCX")</f>
      </c>
      <c r="Q657" s="6">
        <f>HYPERLINK("https://docs.wto.org/imrd/directdoc.asp?DDFDocuments/v/G/SPS/NTHA772.DOCX", "https://docs.wto.org/imrd/directdoc.asp?DDFDocuments/v/G/SPS/NTHA772.DOCX")</f>
      </c>
    </row>
    <row r="658">
      <c r="A658" s="6" t="s">
        <v>1121</v>
      </c>
      <c r="B658" s="7">
        <v>45611</v>
      </c>
      <c r="C658" s="9">
        <f>HYPERLINK("https://eping.wto.org/en/Search?viewData= G/SPS/N/HKG/48/Add.2"," G/SPS/N/HKG/48/Add.2")</f>
      </c>
      <c r="D658" s="8" t="s">
        <v>2686</v>
      </c>
      <c r="E658" s="8" t="s">
        <v>2687</v>
      </c>
      <c r="F658" s="8" t="s">
        <v>1124</v>
      </c>
      <c r="G658" s="8" t="s">
        <v>22</v>
      </c>
      <c r="H658" s="8" t="s">
        <v>22</v>
      </c>
      <c r="I658" s="8" t="s">
        <v>120</v>
      </c>
      <c r="J658" s="8" t="s">
        <v>1903</v>
      </c>
      <c r="K658" s="6"/>
      <c r="L658" s="7" t="s">
        <v>22</v>
      </c>
      <c r="M658" s="6" t="s">
        <v>40</v>
      </c>
      <c r="N658" s="8" t="s">
        <v>2688</v>
      </c>
      <c r="O658" s="6">
        <f>HYPERLINK("https://docs.wto.org/imrd/directdoc.asp?DDFDocuments/t/G/SPS/NHKG48A2.DOCX", "https://docs.wto.org/imrd/directdoc.asp?DDFDocuments/t/G/SPS/NHKG48A2.DOCX")</f>
      </c>
      <c r="P658" s="6">
        <f>HYPERLINK("https://docs.wto.org/imrd/directdoc.asp?DDFDocuments/u/G/SPS/NHKG48A2.DOCX", "https://docs.wto.org/imrd/directdoc.asp?DDFDocuments/u/G/SPS/NHKG48A2.DOCX")</f>
      </c>
      <c r="Q658" s="6">
        <f>HYPERLINK("https://docs.wto.org/imrd/directdoc.asp?DDFDocuments/v/G/SPS/NHKG48A2.DOCX", "https://docs.wto.org/imrd/directdoc.asp?DDFDocuments/v/G/SPS/NHKG48A2.DOCX")</f>
      </c>
    </row>
    <row r="659">
      <c r="A659" s="6" t="s">
        <v>2670</v>
      </c>
      <c r="B659" s="7">
        <v>45611</v>
      </c>
      <c r="C659" s="9">
        <f>HYPERLINK("https://eping.wto.org/en/Search?viewData= G/TBT/N/MWI/128"," G/TBT/N/MWI/128")</f>
      </c>
      <c r="D659" s="8" t="s">
        <v>2689</v>
      </c>
      <c r="E659" s="8" t="s">
        <v>2690</v>
      </c>
      <c r="F659" s="8" t="s">
        <v>2673</v>
      </c>
      <c r="G659" s="8" t="s">
        <v>2674</v>
      </c>
      <c r="H659" s="8" t="s">
        <v>2675</v>
      </c>
      <c r="I659" s="8" t="s">
        <v>272</v>
      </c>
      <c r="J659" s="8" t="s">
        <v>58</v>
      </c>
      <c r="K659" s="6"/>
      <c r="L659" s="7">
        <v>45671</v>
      </c>
      <c r="M659" s="6" t="s">
        <v>32</v>
      </c>
      <c r="N659" s="8" t="s">
        <v>2691</v>
      </c>
      <c r="O659" s="6">
        <f>HYPERLINK("https://docs.wto.org/imrd/directdoc.asp?DDFDocuments/t/G/TBTN24/MWI128.DOCX", "https://docs.wto.org/imrd/directdoc.asp?DDFDocuments/t/G/TBTN24/MWI128.DOCX")</f>
      </c>
      <c r="P659" s="6">
        <f>HYPERLINK("https://docs.wto.org/imrd/directdoc.asp?DDFDocuments/u/G/TBTN24/MWI128.DOCX", "https://docs.wto.org/imrd/directdoc.asp?DDFDocuments/u/G/TBTN24/MWI128.DOCX")</f>
      </c>
      <c r="Q659" s="6">
        <f>HYPERLINK("https://docs.wto.org/imrd/directdoc.asp?DDFDocuments/v/G/TBTN24/MWI128.DOCX", "https://docs.wto.org/imrd/directdoc.asp?DDFDocuments/v/G/TBTN24/MWI128.DOCX")</f>
      </c>
    </row>
    <row r="660">
      <c r="A660" s="6" t="s">
        <v>2670</v>
      </c>
      <c r="B660" s="7">
        <v>45611</v>
      </c>
      <c r="C660" s="9">
        <f>HYPERLINK("https://eping.wto.org/en/Search?viewData= G/TBT/N/MWI/122"," G/TBT/N/MWI/122")</f>
      </c>
      <c r="D660" s="8" t="s">
        <v>2692</v>
      </c>
      <c r="E660" s="8" t="s">
        <v>2693</v>
      </c>
      <c r="F660" s="8" t="s">
        <v>2679</v>
      </c>
      <c r="G660" s="8" t="s">
        <v>2674</v>
      </c>
      <c r="H660" s="8" t="s">
        <v>2256</v>
      </c>
      <c r="I660" s="8" t="s">
        <v>272</v>
      </c>
      <c r="J660" s="8" t="s">
        <v>58</v>
      </c>
      <c r="K660" s="6"/>
      <c r="L660" s="7">
        <v>45671</v>
      </c>
      <c r="M660" s="6" t="s">
        <v>32</v>
      </c>
      <c r="N660" s="8" t="s">
        <v>2694</v>
      </c>
      <c r="O660" s="6">
        <f>HYPERLINK("https://docs.wto.org/imrd/directdoc.asp?DDFDocuments/t/G/TBTN24/MWI122.DOCX", "https://docs.wto.org/imrd/directdoc.asp?DDFDocuments/t/G/TBTN24/MWI122.DOCX")</f>
      </c>
      <c r="P660" s="6">
        <f>HYPERLINK("https://docs.wto.org/imrd/directdoc.asp?DDFDocuments/u/G/TBTN24/MWI122.DOCX", "https://docs.wto.org/imrd/directdoc.asp?DDFDocuments/u/G/TBTN24/MWI122.DOCX")</f>
      </c>
      <c r="Q660" s="6">
        <f>HYPERLINK("https://docs.wto.org/imrd/directdoc.asp?DDFDocuments/v/G/TBTN24/MWI122.DOCX", "https://docs.wto.org/imrd/directdoc.asp?DDFDocuments/v/G/TBTN24/MWI122.DOCX")</f>
      </c>
    </row>
    <row r="661">
      <c r="A661" s="6" t="s">
        <v>418</v>
      </c>
      <c r="B661" s="7">
        <v>45611</v>
      </c>
      <c r="C661" s="9">
        <f>HYPERLINK("https://eping.wto.org/en/Search?viewData= G/SPS/N/EU/800"," G/SPS/N/EU/800")</f>
      </c>
      <c r="D661" s="8" t="s">
        <v>2695</v>
      </c>
      <c r="E661" s="8" t="s">
        <v>2696</v>
      </c>
      <c r="F661" s="8" t="s">
        <v>2697</v>
      </c>
      <c r="G661" s="8" t="s">
        <v>22</v>
      </c>
      <c r="H661" s="8" t="s">
        <v>22</v>
      </c>
      <c r="I661" s="8" t="s">
        <v>120</v>
      </c>
      <c r="J661" s="8" t="s">
        <v>416</v>
      </c>
      <c r="K661" s="6"/>
      <c r="L661" s="7" t="s">
        <v>22</v>
      </c>
      <c r="M661" s="6" t="s">
        <v>32</v>
      </c>
      <c r="N661" s="8" t="s">
        <v>2698</v>
      </c>
      <c r="O661" s="6">
        <f>HYPERLINK("https://docs.wto.org/imrd/directdoc.asp?DDFDocuments/t/G/SPS/NEU800.DOCX", "https://docs.wto.org/imrd/directdoc.asp?DDFDocuments/t/G/SPS/NEU800.DOCX")</f>
      </c>
      <c r="P661" s="6">
        <f>HYPERLINK("https://docs.wto.org/imrd/directdoc.asp?DDFDocuments/u/G/SPS/NEU800.DOCX", "https://docs.wto.org/imrd/directdoc.asp?DDFDocuments/u/G/SPS/NEU800.DOCX")</f>
      </c>
      <c r="Q661" s="6">
        <f>HYPERLINK("https://docs.wto.org/imrd/directdoc.asp?DDFDocuments/v/G/SPS/NEU800.DOCX", "https://docs.wto.org/imrd/directdoc.asp?DDFDocuments/v/G/SPS/NEU800.DOCX")</f>
      </c>
    </row>
    <row r="662">
      <c r="A662" s="6" t="s">
        <v>2670</v>
      </c>
      <c r="B662" s="7">
        <v>45611</v>
      </c>
      <c r="C662" s="9">
        <f>HYPERLINK("https://eping.wto.org/en/Search?viewData= G/TBT/N/MWI/131"," G/TBT/N/MWI/131")</f>
      </c>
      <c r="D662" s="8" t="s">
        <v>2699</v>
      </c>
      <c r="E662" s="8" t="s">
        <v>2700</v>
      </c>
      <c r="F662" s="8" t="s">
        <v>2673</v>
      </c>
      <c r="G662" s="8" t="s">
        <v>2701</v>
      </c>
      <c r="H662" s="8" t="s">
        <v>2675</v>
      </c>
      <c r="I662" s="8" t="s">
        <v>272</v>
      </c>
      <c r="J662" s="8" t="s">
        <v>58</v>
      </c>
      <c r="K662" s="6"/>
      <c r="L662" s="7">
        <v>45671</v>
      </c>
      <c r="M662" s="6" t="s">
        <v>32</v>
      </c>
      <c r="N662" s="8" t="s">
        <v>2702</v>
      </c>
      <c r="O662" s="6">
        <f>HYPERLINK("https://docs.wto.org/imrd/directdoc.asp?DDFDocuments/t/G/TBTN24/MWI131.DOCX", "https://docs.wto.org/imrd/directdoc.asp?DDFDocuments/t/G/TBTN24/MWI131.DOCX")</f>
      </c>
      <c r="P662" s="6">
        <f>HYPERLINK("https://docs.wto.org/imrd/directdoc.asp?DDFDocuments/u/G/TBTN24/MWI131.DOCX", "https://docs.wto.org/imrd/directdoc.asp?DDFDocuments/u/G/TBTN24/MWI131.DOCX")</f>
      </c>
      <c r="Q662" s="6">
        <f>HYPERLINK("https://docs.wto.org/imrd/directdoc.asp?DDFDocuments/v/G/TBTN24/MWI131.DOCX", "https://docs.wto.org/imrd/directdoc.asp?DDFDocuments/v/G/TBTN24/MWI131.DOCX")</f>
      </c>
    </row>
    <row r="663">
      <c r="A663" s="6" t="s">
        <v>2670</v>
      </c>
      <c r="B663" s="7">
        <v>45611</v>
      </c>
      <c r="C663" s="9">
        <f>HYPERLINK("https://eping.wto.org/en/Search?viewData= G/TBT/N/MWI/130"," G/TBT/N/MWI/130")</f>
      </c>
      <c r="D663" s="8" t="s">
        <v>2703</v>
      </c>
      <c r="E663" s="8" t="s">
        <v>2704</v>
      </c>
      <c r="F663" s="8" t="s">
        <v>2673</v>
      </c>
      <c r="G663" s="8" t="s">
        <v>2674</v>
      </c>
      <c r="H663" s="8" t="s">
        <v>2675</v>
      </c>
      <c r="I663" s="8" t="s">
        <v>272</v>
      </c>
      <c r="J663" s="8" t="s">
        <v>58</v>
      </c>
      <c r="K663" s="6"/>
      <c r="L663" s="7">
        <v>45671</v>
      </c>
      <c r="M663" s="6" t="s">
        <v>32</v>
      </c>
      <c r="N663" s="8" t="s">
        <v>2705</v>
      </c>
      <c r="O663" s="6">
        <f>HYPERLINK("https://docs.wto.org/imrd/directdoc.asp?DDFDocuments/t/G/TBTN24/MWI130.DOCX", "https://docs.wto.org/imrd/directdoc.asp?DDFDocuments/t/G/TBTN24/MWI130.DOCX")</f>
      </c>
      <c r="P663" s="6">
        <f>HYPERLINK("https://docs.wto.org/imrd/directdoc.asp?DDFDocuments/u/G/TBTN24/MWI130.DOCX", "https://docs.wto.org/imrd/directdoc.asp?DDFDocuments/u/G/TBTN24/MWI130.DOCX")</f>
      </c>
      <c r="Q663" s="6">
        <f>HYPERLINK("https://docs.wto.org/imrd/directdoc.asp?DDFDocuments/v/G/TBTN24/MWI130.DOCX", "https://docs.wto.org/imrd/directdoc.asp?DDFDocuments/v/G/TBTN24/MWI130.DOCX")</f>
      </c>
    </row>
    <row r="664">
      <c r="A664" s="6" t="s">
        <v>2670</v>
      </c>
      <c r="B664" s="7">
        <v>45611</v>
      </c>
      <c r="C664" s="9">
        <f>HYPERLINK("https://eping.wto.org/en/Search?viewData= G/TBT/N/MWI/134"," G/TBT/N/MWI/134")</f>
      </c>
      <c r="D664" s="8" t="s">
        <v>2706</v>
      </c>
      <c r="E664" s="8" t="s">
        <v>2707</v>
      </c>
      <c r="F664" s="8" t="s">
        <v>2673</v>
      </c>
      <c r="G664" s="8" t="s">
        <v>2674</v>
      </c>
      <c r="H664" s="8" t="s">
        <v>2675</v>
      </c>
      <c r="I664" s="8" t="s">
        <v>272</v>
      </c>
      <c r="J664" s="8" t="s">
        <v>58</v>
      </c>
      <c r="K664" s="6"/>
      <c r="L664" s="7">
        <v>45671</v>
      </c>
      <c r="M664" s="6" t="s">
        <v>32</v>
      </c>
      <c r="N664" s="8" t="s">
        <v>2708</v>
      </c>
      <c r="O664" s="6">
        <f>HYPERLINK("https://docs.wto.org/imrd/directdoc.asp?DDFDocuments/t/G/TBTN24/MWI134.DOCX", "https://docs.wto.org/imrd/directdoc.asp?DDFDocuments/t/G/TBTN24/MWI134.DOCX")</f>
      </c>
      <c r="P664" s="6">
        <f>HYPERLINK("https://docs.wto.org/imrd/directdoc.asp?DDFDocuments/u/G/TBTN24/MWI134.DOCX", "https://docs.wto.org/imrd/directdoc.asp?DDFDocuments/u/G/TBTN24/MWI134.DOCX")</f>
      </c>
      <c r="Q664" s="6">
        <f>HYPERLINK("https://docs.wto.org/imrd/directdoc.asp?DDFDocuments/v/G/TBTN24/MWI134.DOCX", "https://docs.wto.org/imrd/directdoc.asp?DDFDocuments/v/G/TBTN24/MWI134.DOCX")</f>
      </c>
    </row>
    <row r="665">
      <c r="A665" s="6" t="s">
        <v>2670</v>
      </c>
      <c r="B665" s="7">
        <v>45611</v>
      </c>
      <c r="C665" s="9">
        <f>HYPERLINK("https://eping.wto.org/en/Search?viewData= G/TBT/N/MWI/135"," G/TBT/N/MWI/135")</f>
      </c>
      <c r="D665" s="8" t="s">
        <v>2709</v>
      </c>
      <c r="E665" s="8" t="s">
        <v>2710</v>
      </c>
      <c r="F665" s="8" t="s">
        <v>2673</v>
      </c>
      <c r="G665" s="8" t="s">
        <v>2674</v>
      </c>
      <c r="H665" s="8" t="s">
        <v>2675</v>
      </c>
      <c r="I665" s="8" t="s">
        <v>272</v>
      </c>
      <c r="J665" s="8" t="s">
        <v>58</v>
      </c>
      <c r="K665" s="6"/>
      <c r="L665" s="7">
        <v>45671</v>
      </c>
      <c r="M665" s="6" t="s">
        <v>32</v>
      </c>
      <c r="N665" s="8" t="s">
        <v>2711</v>
      </c>
      <c r="O665" s="6">
        <f>HYPERLINK("https://docs.wto.org/imrd/directdoc.asp?DDFDocuments/t/G/TBTN24/MWI135.DOCX", "https://docs.wto.org/imrd/directdoc.asp?DDFDocuments/t/G/TBTN24/MWI135.DOCX")</f>
      </c>
      <c r="P665" s="6">
        <f>HYPERLINK("https://docs.wto.org/imrd/directdoc.asp?DDFDocuments/u/G/TBTN24/MWI135.DOCX", "https://docs.wto.org/imrd/directdoc.asp?DDFDocuments/u/G/TBTN24/MWI135.DOCX")</f>
      </c>
      <c r="Q665" s="6">
        <f>HYPERLINK("https://docs.wto.org/imrd/directdoc.asp?DDFDocuments/v/G/TBTN24/MWI135.DOCX", "https://docs.wto.org/imrd/directdoc.asp?DDFDocuments/v/G/TBTN24/MWI135.DOCX")</f>
      </c>
    </row>
    <row r="666">
      <c r="A666" s="6" t="s">
        <v>374</v>
      </c>
      <c r="B666" s="7">
        <v>45611</v>
      </c>
      <c r="C666" s="9">
        <f>HYPERLINK("https://eping.wto.org/en/Search?viewData= G/SPS/N/CRI/288"," G/SPS/N/CRI/288")</f>
      </c>
      <c r="D666" s="8" t="s">
        <v>2712</v>
      </c>
      <c r="E666" s="8" t="s">
        <v>2713</v>
      </c>
      <c r="F666" s="8" t="s">
        <v>2714</v>
      </c>
      <c r="G666" s="8" t="s">
        <v>224</v>
      </c>
      <c r="H666" s="8" t="s">
        <v>22</v>
      </c>
      <c r="I666" s="8" t="s">
        <v>390</v>
      </c>
      <c r="J666" s="8" t="s">
        <v>391</v>
      </c>
      <c r="K666" s="6" t="s">
        <v>360</v>
      </c>
      <c r="L666" s="7">
        <v>45671</v>
      </c>
      <c r="M666" s="6" t="s">
        <v>32</v>
      </c>
      <c r="N666" s="8" t="s">
        <v>2715</v>
      </c>
      <c r="O666" s="6">
        <f>HYPERLINK("https://docs.wto.org/imrd/directdoc.asp?DDFDocuments/t/G/SPS/NCRI288.DOCX", "https://docs.wto.org/imrd/directdoc.asp?DDFDocuments/t/G/SPS/NCRI288.DOCX")</f>
      </c>
      <c r="P666" s="6">
        <f>HYPERLINK("https://docs.wto.org/imrd/directdoc.asp?DDFDocuments/u/G/SPS/NCRI288.DOCX", "https://docs.wto.org/imrd/directdoc.asp?DDFDocuments/u/G/SPS/NCRI288.DOCX")</f>
      </c>
      <c r="Q666" s="6">
        <f>HYPERLINK("https://docs.wto.org/imrd/directdoc.asp?DDFDocuments/v/G/SPS/NCRI288.DOCX", "https://docs.wto.org/imrd/directdoc.asp?DDFDocuments/v/G/SPS/NCRI288.DOCX")</f>
      </c>
    </row>
    <row r="667">
      <c r="A667" s="6" t="s">
        <v>34</v>
      </c>
      <c r="B667" s="7">
        <v>45611</v>
      </c>
      <c r="C667" s="9">
        <f>HYPERLINK("https://eping.wto.org/en/Search?viewData= G/TBT/N/TPKM/551"," G/TBT/N/TPKM/551")</f>
      </c>
      <c r="D667" s="8" t="s">
        <v>2716</v>
      </c>
      <c r="E667" s="8" t="s">
        <v>2717</v>
      </c>
      <c r="F667" s="8" t="s">
        <v>2718</v>
      </c>
      <c r="G667" s="8" t="s">
        <v>2719</v>
      </c>
      <c r="H667" s="8" t="s">
        <v>1924</v>
      </c>
      <c r="I667" s="8" t="s">
        <v>39</v>
      </c>
      <c r="J667" s="8" t="s">
        <v>139</v>
      </c>
      <c r="K667" s="6"/>
      <c r="L667" s="7">
        <v>45671</v>
      </c>
      <c r="M667" s="6" t="s">
        <v>32</v>
      </c>
      <c r="N667" s="8" t="s">
        <v>2720</v>
      </c>
      <c r="O667" s="6">
        <f>HYPERLINK("https://docs.wto.org/imrd/directdoc.asp?DDFDocuments/t/G/TBTN24/TPKM551.DOCX", "https://docs.wto.org/imrd/directdoc.asp?DDFDocuments/t/G/TBTN24/TPKM551.DOCX")</f>
      </c>
      <c r="P667" s="6">
        <f>HYPERLINK("https://docs.wto.org/imrd/directdoc.asp?DDFDocuments/u/G/TBTN24/TPKM551.DOCX", "https://docs.wto.org/imrd/directdoc.asp?DDFDocuments/u/G/TBTN24/TPKM551.DOCX")</f>
      </c>
      <c r="Q667" s="6">
        <f>HYPERLINK("https://docs.wto.org/imrd/directdoc.asp?DDFDocuments/v/G/TBTN24/TPKM551.DOCX", "https://docs.wto.org/imrd/directdoc.asp?DDFDocuments/v/G/TBTN24/TPKM551.DOCX")</f>
      </c>
    </row>
    <row r="668">
      <c r="A668" s="6" t="s">
        <v>343</v>
      </c>
      <c r="B668" s="7">
        <v>45611</v>
      </c>
      <c r="C668" s="9">
        <f>HYPERLINK("https://eping.wto.org/en/Search?viewData= G/SPS/N/THA/764"," G/SPS/N/THA/764")</f>
      </c>
      <c r="D668" s="8" t="s">
        <v>2721</v>
      </c>
      <c r="E668" s="8" t="s">
        <v>2722</v>
      </c>
      <c r="F668" s="8" t="s">
        <v>2683</v>
      </c>
      <c r="G668" s="8" t="s">
        <v>2684</v>
      </c>
      <c r="H668" s="8" t="s">
        <v>22</v>
      </c>
      <c r="I668" s="8" t="s">
        <v>348</v>
      </c>
      <c r="J668" s="8" t="s">
        <v>2685</v>
      </c>
      <c r="K668" s="6" t="s">
        <v>1443</v>
      </c>
      <c r="L668" s="7" t="s">
        <v>22</v>
      </c>
      <c r="M668" s="6" t="s">
        <v>331</v>
      </c>
      <c r="N668" s="6"/>
      <c r="O668" s="6">
        <f>HYPERLINK("https://docs.wto.org/imrd/directdoc.asp?DDFDocuments/t/G/SPS/NTHA764.DOCX", "https://docs.wto.org/imrd/directdoc.asp?DDFDocuments/t/G/SPS/NTHA764.DOCX")</f>
      </c>
      <c r="P668" s="6">
        <f>HYPERLINK("https://docs.wto.org/imrd/directdoc.asp?DDFDocuments/u/G/SPS/NTHA764.DOCX", "https://docs.wto.org/imrd/directdoc.asp?DDFDocuments/u/G/SPS/NTHA764.DOCX")</f>
      </c>
      <c r="Q668" s="6">
        <f>HYPERLINK("https://docs.wto.org/imrd/directdoc.asp?DDFDocuments/v/G/SPS/NTHA764.DOCX", "https://docs.wto.org/imrd/directdoc.asp?DDFDocuments/v/G/SPS/NTHA764.DOCX")</f>
      </c>
    </row>
    <row r="669">
      <c r="A669" s="6" t="s">
        <v>343</v>
      </c>
      <c r="B669" s="7">
        <v>45611</v>
      </c>
      <c r="C669" s="9">
        <f>HYPERLINK("https://eping.wto.org/en/Search?viewData= G/SPS/N/THA/768"," G/SPS/N/THA/768")</f>
      </c>
      <c r="D669" s="8" t="s">
        <v>2723</v>
      </c>
      <c r="E669" s="8" t="s">
        <v>2724</v>
      </c>
      <c r="F669" s="8" t="s">
        <v>383</v>
      </c>
      <c r="G669" s="8" t="s">
        <v>347</v>
      </c>
      <c r="H669" s="8" t="s">
        <v>22</v>
      </c>
      <c r="I669" s="8" t="s">
        <v>348</v>
      </c>
      <c r="J669" s="8" t="s">
        <v>1682</v>
      </c>
      <c r="K669" s="6" t="s">
        <v>513</v>
      </c>
      <c r="L669" s="7" t="s">
        <v>22</v>
      </c>
      <c r="M669" s="6" t="s">
        <v>331</v>
      </c>
      <c r="N669" s="6"/>
      <c r="O669" s="6">
        <f>HYPERLINK("https://docs.wto.org/imrd/directdoc.asp?DDFDocuments/t/G/SPS/NTHA768.DOCX", "https://docs.wto.org/imrd/directdoc.asp?DDFDocuments/t/G/SPS/NTHA768.DOCX")</f>
      </c>
      <c r="P669" s="6">
        <f>HYPERLINK("https://docs.wto.org/imrd/directdoc.asp?DDFDocuments/u/G/SPS/NTHA768.DOCX", "https://docs.wto.org/imrd/directdoc.asp?DDFDocuments/u/G/SPS/NTHA768.DOCX")</f>
      </c>
      <c r="Q669" s="6">
        <f>HYPERLINK("https://docs.wto.org/imrd/directdoc.asp?DDFDocuments/v/G/SPS/NTHA768.DOCX", "https://docs.wto.org/imrd/directdoc.asp?DDFDocuments/v/G/SPS/NTHA768.DOCX")</f>
      </c>
    </row>
    <row r="670">
      <c r="A670" s="6" t="s">
        <v>343</v>
      </c>
      <c r="B670" s="7">
        <v>45611</v>
      </c>
      <c r="C670" s="9">
        <f>HYPERLINK("https://eping.wto.org/en/Search?viewData= G/SPS/N/THA/771"," G/SPS/N/THA/771")</f>
      </c>
      <c r="D670" s="8" t="s">
        <v>2725</v>
      </c>
      <c r="E670" s="8" t="s">
        <v>2726</v>
      </c>
      <c r="F670" s="8" t="s">
        <v>2727</v>
      </c>
      <c r="G670" s="8" t="s">
        <v>347</v>
      </c>
      <c r="H670" s="8" t="s">
        <v>22</v>
      </c>
      <c r="I670" s="8" t="s">
        <v>348</v>
      </c>
      <c r="J670" s="8" t="s">
        <v>483</v>
      </c>
      <c r="K670" s="6" t="s">
        <v>874</v>
      </c>
      <c r="L670" s="7" t="s">
        <v>22</v>
      </c>
      <c r="M670" s="6" t="s">
        <v>331</v>
      </c>
      <c r="N670" s="6"/>
      <c r="O670" s="6">
        <f>HYPERLINK("https://docs.wto.org/imrd/directdoc.asp?DDFDocuments/t/G/SPS/NTHA771.DOCX", "https://docs.wto.org/imrd/directdoc.asp?DDFDocuments/t/G/SPS/NTHA771.DOCX")</f>
      </c>
      <c r="P670" s="6">
        <f>HYPERLINK("https://docs.wto.org/imrd/directdoc.asp?DDFDocuments/u/G/SPS/NTHA771.DOCX", "https://docs.wto.org/imrd/directdoc.asp?DDFDocuments/u/G/SPS/NTHA771.DOCX")</f>
      </c>
      <c r="Q670" s="6">
        <f>HYPERLINK("https://docs.wto.org/imrd/directdoc.asp?DDFDocuments/v/G/SPS/NTHA771.DOCX", "https://docs.wto.org/imrd/directdoc.asp?DDFDocuments/v/G/SPS/NTHA771.DOCX")</f>
      </c>
    </row>
    <row r="671">
      <c r="A671" s="6" t="s">
        <v>343</v>
      </c>
      <c r="B671" s="7">
        <v>45611</v>
      </c>
      <c r="C671" s="9">
        <f>HYPERLINK("https://eping.wto.org/en/Search?viewData= G/SPS/N/THA/774"," G/SPS/N/THA/774")</f>
      </c>
      <c r="D671" s="8" t="s">
        <v>2728</v>
      </c>
      <c r="E671" s="8" t="s">
        <v>2729</v>
      </c>
      <c r="F671" s="8" t="s">
        <v>2730</v>
      </c>
      <c r="G671" s="8" t="s">
        <v>347</v>
      </c>
      <c r="H671" s="8" t="s">
        <v>22</v>
      </c>
      <c r="I671" s="8" t="s">
        <v>348</v>
      </c>
      <c r="J671" s="8" t="s">
        <v>349</v>
      </c>
      <c r="K671" s="6" t="s">
        <v>2731</v>
      </c>
      <c r="L671" s="7" t="s">
        <v>22</v>
      </c>
      <c r="M671" s="6" t="s">
        <v>331</v>
      </c>
      <c r="N671" s="6"/>
      <c r="O671" s="6">
        <f>HYPERLINK("https://docs.wto.org/imrd/directdoc.asp?DDFDocuments/t/G/SPS/NTHA774.DOCX", "https://docs.wto.org/imrd/directdoc.asp?DDFDocuments/t/G/SPS/NTHA774.DOCX")</f>
      </c>
      <c r="P671" s="6">
        <f>HYPERLINK("https://docs.wto.org/imrd/directdoc.asp?DDFDocuments/u/G/SPS/NTHA774.DOCX", "https://docs.wto.org/imrd/directdoc.asp?DDFDocuments/u/G/SPS/NTHA774.DOCX")</f>
      </c>
      <c r="Q671" s="6">
        <f>HYPERLINK("https://docs.wto.org/imrd/directdoc.asp?DDFDocuments/v/G/SPS/NTHA774.DOCX", "https://docs.wto.org/imrd/directdoc.asp?DDFDocuments/v/G/SPS/NTHA774.DOCX")</f>
      </c>
    </row>
    <row r="672">
      <c r="A672" s="6" t="s">
        <v>2670</v>
      </c>
      <c r="B672" s="7">
        <v>45611</v>
      </c>
      <c r="C672" s="9">
        <f>HYPERLINK("https://eping.wto.org/en/Search?viewData= G/TBT/N/MWI/138"," G/TBT/N/MWI/138")</f>
      </c>
      <c r="D672" s="8" t="s">
        <v>2732</v>
      </c>
      <c r="E672" s="8" t="s">
        <v>2733</v>
      </c>
      <c r="F672" s="8" t="s">
        <v>2679</v>
      </c>
      <c r="G672" s="8" t="s">
        <v>2674</v>
      </c>
      <c r="H672" s="8" t="s">
        <v>2256</v>
      </c>
      <c r="I672" s="8" t="s">
        <v>272</v>
      </c>
      <c r="J672" s="8" t="s">
        <v>58</v>
      </c>
      <c r="K672" s="6"/>
      <c r="L672" s="7">
        <v>45671</v>
      </c>
      <c r="M672" s="6" t="s">
        <v>32</v>
      </c>
      <c r="N672" s="8" t="s">
        <v>2734</v>
      </c>
      <c r="O672" s="6">
        <f>HYPERLINK("https://docs.wto.org/imrd/directdoc.asp?DDFDocuments/t/G/TBTN24/MWI138.DOCX", "https://docs.wto.org/imrd/directdoc.asp?DDFDocuments/t/G/TBTN24/MWI138.DOCX")</f>
      </c>
      <c r="P672" s="6">
        <f>HYPERLINK("https://docs.wto.org/imrd/directdoc.asp?DDFDocuments/u/G/TBTN24/MWI138.DOCX", "https://docs.wto.org/imrd/directdoc.asp?DDFDocuments/u/G/TBTN24/MWI138.DOCX")</f>
      </c>
      <c r="Q672" s="6">
        <f>HYPERLINK("https://docs.wto.org/imrd/directdoc.asp?DDFDocuments/v/G/TBTN24/MWI138.DOCX", "https://docs.wto.org/imrd/directdoc.asp?DDFDocuments/v/G/TBTN24/MWI138.DOCX")</f>
      </c>
    </row>
    <row r="673">
      <c r="A673" s="6" t="s">
        <v>2670</v>
      </c>
      <c r="B673" s="7">
        <v>45611</v>
      </c>
      <c r="C673" s="9">
        <f>HYPERLINK("https://eping.wto.org/en/Search?viewData= G/TBT/N/MWI/127"," G/TBT/N/MWI/127")</f>
      </c>
      <c r="D673" s="8" t="s">
        <v>2735</v>
      </c>
      <c r="E673" s="8" t="s">
        <v>2736</v>
      </c>
      <c r="F673" s="8" t="s">
        <v>2737</v>
      </c>
      <c r="G673" s="8" t="s">
        <v>2738</v>
      </c>
      <c r="H673" s="8" t="s">
        <v>2739</v>
      </c>
      <c r="I673" s="8" t="s">
        <v>272</v>
      </c>
      <c r="J673" s="8" t="s">
        <v>58</v>
      </c>
      <c r="K673" s="6"/>
      <c r="L673" s="7">
        <v>45671</v>
      </c>
      <c r="M673" s="6" t="s">
        <v>32</v>
      </c>
      <c r="N673" s="8" t="s">
        <v>2740</v>
      </c>
      <c r="O673" s="6">
        <f>HYPERLINK("https://docs.wto.org/imrd/directdoc.asp?DDFDocuments/t/G/TBTN24/MWI127.DOCX", "https://docs.wto.org/imrd/directdoc.asp?DDFDocuments/t/G/TBTN24/MWI127.DOCX")</f>
      </c>
      <c r="P673" s="6">
        <f>HYPERLINK("https://docs.wto.org/imrd/directdoc.asp?DDFDocuments/u/G/TBTN24/MWI127.DOCX", "https://docs.wto.org/imrd/directdoc.asp?DDFDocuments/u/G/TBTN24/MWI127.DOCX")</f>
      </c>
      <c r="Q673" s="6">
        <f>HYPERLINK("https://docs.wto.org/imrd/directdoc.asp?DDFDocuments/v/G/TBTN24/MWI127.DOCX", "https://docs.wto.org/imrd/directdoc.asp?DDFDocuments/v/G/TBTN24/MWI127.DOCX")</f>
      </c>
    </row>
    <row r="674">
      <c r="A674" s="6" t="s">
        <v>2670</v>
      </c>
      <c r="B674" s="7">
        <v>45611</v>
      </c>
      <c r="C674" s="9">
        <f>HYPERLINK("https://eping.wto.org/en/Search?viewData= G/TBT/N/MWI/119"," G/TBT/N/MWI/119")</f>
      </c>
      <c r="D674" s="8" t="s">
        <v>2741</v>
      </c>
      <c r="E674" s="8" t="s">
        <v>2742</v>
      </c>
      <c r="F674" s="8" t="s">
        <v>2679</v>
      </c>
      <c r="G674" s="8" t="s">
        <v>2743</v>
      </c>
      <c r="H674" s="8" t="s">
        <v>2256</v>
      </c>
      <c r="I674" s="8" t="s">
        <v>272</v>
      </c>
      <c r="J674" s="8" t="s">
        <v>58</v>
      </c>
      <c r="K674" s="6"/>
      <c r="L674" s="7">
        <v>45671</v>
      </c>
      <c r="M674" s="6" t="s">
        <v>32</v>
      </c>
      <c r="N674" s="8" t="s">
        <v>2744</v>
      </c>
      <c r="O674" s="6">
        <f>HYPERLINK("https://docs.wto.org/imrd/directdoc.asp?DDFDocuments/t/G/TBTN24/MWI119.DOCX", "https://docs.wto.org/imrd/directdoc.asp?DDFDocuments/t/G/TBTN24/MWI119.DOCX")</f>
      </c>
      <c r="P674" s="6">
        <f>HYPERLINK("https://docs.wto.org/imrd/directdoc.asp?DDFDocuments/u/G/TBTN24/MWI119.DOCX", "https://docs.wto.org/imrd/directdoc.asp?DDFDocuments/u/G/TBTN24/MWI119.DOCX")</f>
      </c>
      <c r="Q674" s="6">
        <f>HYPERLINK("https://docs.wto.org/imrd/directdoc.asp?DDFDocuments/v/G/TBTN24/MWI119.DOCX", "https://docs.wto.org/imrd/directdoc.asp?DDFDocuments/v/G/TBTN24/MWI119.DOCX")</f>
      </c>
    </row>
    <row r="675">
      <c r="A675" s="6" t="s">
        <v>132</v>
      </c>
      <c r="B675" s="7">
        <v>45611</v>
      </c>
      <c r="C675" s="9">
        <f>HYPERLINK("https://eping.wto.org/en/Search?viewData= G/SPS/N/CAN/1244/Add.22"," G/SPS/N/CAN/1244/Add.22")</f>
      </c>
      <c r="D675" s="8" t="s">
        <v>2745</v>
      </c>
      <c r="E675" s="8" t="s">
        <v>2746</v>
      </c>
      <c r="F675" s="8" t="s">
        <v>2747</v>
      </c>
      <c r="G675" s="8" t="s">
        <v>2748</v>
      </c>
      <c r="H675" s="8" t="s">
        <v>22</v>
      </c>
      <c r="I675" s="8" t="s">
        <v>348</v>
      </c>
      <c r="J675" s="8" t="s">
        <v>2749</v>
      </c>
      <c r="K675" s="6"/>
      <c r="L675" s="7" t="s">
        <v>22</v>
      </c>
      <c r="M675" s="6" t="s">
        <v>24</v>
      </c>
      <c r="N675" s="6"/>
      <c r="O675" s="6">
        <f>HYPERLINK("https://docs.wto.org/imrd/directdoc.asp?DDFDocuments/t/G/SPS/NCAN1244A22.DOCX", "https://docs.wto.org/imrd/directdoc.asp?DDFDocuments/t/G/SPS/NCAN1244A22.DOCX")</f>
      </c>
      <c r="P675" s="6">
        <f>HYPERLINK("https://docs.wto.org/imrd/directdoc.asp?DDFDocuments/u/G/SPS/NCAN1244A22.DOCX", "https://docs.wto.org/imrd/directdoc.asp?DDFDocuments/u/G/SPS/NCAN1244A22.DOCX")</f>
      </c>
      <c r="Q675" s="6">
        <f>HYPERLINK("https://docs.wto.org/imrd/directdoc.asp?DDFDocuments/v/G/SPS/NCAN1244A22.DOCX", "https://docs.wto.org/imrd/directdoc.asp?DDFDocuments/v/G/SPS/NCAN1244A22.DOCX")</f>
      </c>
    </row>
    <row r="676">
      <c r="A676" s="6" t="s">
        <v>2670</v>
      </c>
      <c r="B676" s="7">
        <v>45611</v>
      </c>
      <c r="C676" s="9">
        <f>HYPERLINK("https://eping.wto.org/en/Search?viewData= G/TBT/N/MWI/117"," G/TBT/N/MWI/117")</f>
      </c>
      <c r="D676" s="8" t="s">
        <v>2750</v>
      </c>
      <c r="E676" s="8" t="s">
        <v>2751</v>
      </c>
      <c r="F676" s="8" t="s">
        <v>2679</v>
      </c>
      <c r="G676" s="8" t="s">
        <v>2752</v>
      </c>
      <c r="H676" s="8" t="s">
        <v>2256</v>
      </c>
      <c r="I676" s="8" t="s">
        <v>272</v>
      </c>
      <c r="J676" s="8" t="s">
        <v>58</v>
      </c>
      <c r="K676" s="6"/>
      <c r="L676" s="7">
        <v>45671</v>
      </c>
      <c r="M676" s="6" t="s">
        <v>32</v>
      </c>
      <c r="N676" s="8" t="s">
        <v>2753</v>
      </c>
      <c r="O676" s="6">
        <f>HYPERLINK("https://docs.wto.org/imrd/directdoc.asp?DDFDocuments/t/G/TBTN24/MWI117.DOCX", "https://docs.wto.org/imrd/directdoc.asp?DDFDocuments/t/G/TBTN24/MWI117.DOCX")</f>
      </c>
      <c r="P676" s="6">
        <f>HYPERLINK("https://docs.wto.org/imrd/directdoc.asp?DDFDocuments/u/G/TBTN24/MWI117.DOCX", "https://docs.wto.org/imrd/directdoc.asp?DDFDocuments/u/G/TBTN24/MWI117.DOCX")</f>
      </c>
      <c r="Q676" s="6">
        <f>HYPERLINK("https://docs.wto.org/imrd/directdoc.asp?DDFDocuments/v/G/TBTN24/MWI117.DOCX", "https://docs.wto.org/imrd/directdoc.asp?DDFDocuments/v/G/TBTN24/MWI117.DOCX")</f>
      </c>
    </row>
    <row r="677">
      <c r="A677" s="6" t="s">
        <v>2670</v>
      </c>
      <c r="B677" s="7">
        <v>45611</v>
      </c>
      <c r="C677" s="9">
        <f>HYPERLINK("https://eping.wto.org/en/Search?viewData= G/TBT/N/MWI/118"," G/TBT/N/MWI/118")</f>
      </c>
      <c r="D677" s="8" t="s">
        <v>2754</v>
      </c>
      <c r="E677" s="8" t="s">
        <v>2755</v>
      </c>
      <c r="F677" s="8" t="s">
        <v>2679</v>
      </c>
      <c r="G677" s="8" t="s">
        <v>2756</v>
      </c>
      <c r="H677" s="8" t="s">
        <v>2256</v>
      </c>
      <c r="I677" s="8" t="s">
        <v>272</v>
      </c>
      <c r="J677" s="8" t="s">
        <v>58</v>
      </c>
      <c r="K677" s="6"/>
      <c r="L677" s="7">
        <v>45671</v>
      </c>
      <c r="M677" s="6" t="s">
        <v>32</v>
      </c>
      <c r="N677" s="8" t="s">
        <v>2757</v>
      </c>
      <c r="O677" s="6">
        <f>HYPERLINK("https://docs.wto.org/imrd/directdoc.asp?DDFDocuments/t/G/TBTN24/MWI118.DOCX", "https://docs.wto.org/imrd/directdoc.asp?DDFDocuments/t/G/TBTN24/MWI118.DOCX")</f>
      </c>
      <c r="P677" s="6">
        <f>HYPERLINK("https://docs.wto.org/imrd/directdoc.asp?DDFDocuments/u/G/TBTN24/MWI118.DOCX", "https://docs.wto.org/imrd/directdoc.asp?DDFDocuments/u/G/TBTN24/MWI118.DOCX")</f>
      </c>
      <c r="Q677" s="6">
        <f>HYPERLINK("https://docs.wto.org/imrd/directdoc.asp?DDFDocuments/v/G/TBTN24/MWI118.DOCX", "https://docs.wto.org/imrd/directdoc.asp?DDFDocuments/v/G/TBTN24/MWI118.DOCX")</f>
      </c>
    </row>
    <row r="678">
      <c r="A678" s="6" t="s">
        <v>2670</v>
      </c>
      <c r="B678" s="7">
        <v>45611</v>
      </c>
      <c r="C678" s="9">
        <f>HYPERLINK("https://eping.wto.org/en/Search?viewData= G/TBT/N/MWI/136"," G/TBT/N/MWI/136")</f>
      </c>
      <c r="D678" s="8" t="s">
        <v>2758</v>
      </c>
      <c r="E678" s="8" t="s">
        <v>2759</v>
      </c>
      <c r="F678" s="8" t="s">
        <v>2679</v>
      </c>
      <c r="G678" s="8" t="s">
        <v>2760</v>
      </c>
      <c r="H678" s="8" t="s">
        <v>2256</v>
      </c>
      <c r="I678" s="8" t="s">
        <v>272</v>
      </c>
      <c r="J678" s="8" t="s">
        <v>58</v>
      </c>
      <c r="K678" s="6"/>
      <c r="L678" s="7">
        <v>45671</v>
      </c>
      <c r="M678" s="6" t="s">
        <v>32</v>
      </c>
      <c r="N678" s="8" t="s">
        <v>2761</v>
      </c>
      <c r="O678" s="6">
        <f>HYPERLINK("https://docs.wto.org/imrd/directdoc.asp?DDFDocuments/t/G/TBTN24/MWI136.DOCX", "https://docs.wto.org/imrd/directdoc.asp?DDFDocuments/t/G/TBTN24/MWI136.DOCX")</f>
      </c>
      <c r="P678" s="6">
        <f>HYPERLINK("https://docs.wto.org/imrd/directdoc.asp?DDFDocuments/u/G/TBTN24/MWI136.DOCX", "https://docs.wto.org/imrd/directdoc.asp?DDFDocuments/u/G/TBTN24/MWI136.DOCX")</f>
      </c>
      <c r="Q678" s="6">
        <f>HYPERLINK("https://docs.wto.org/imrd/directdoc.asp?DDFDocuments/v/G/TBTN24/MWI136.DOCX", "https://docs.wto.org/imrd/directdoc.asp?DDFDocuments/v/G/TBTN24/MWI136.DOCX")</f>
      </c>
    </row>
    <row r="679">
      <c r="A679" s="6" t="s">
        <v>343</v>
      </c>
      <c r="B679" s="7">
        <v>45611</v>
      </c>
      <c r="C679" s="9">
        <f>HYPERLINK("https://eping.wto.org/en/Search?viewData= G/SPS/N/THA/766"," G/SPS/N/THA/766")</f>
      </c>
      <c r="D679" s="8" t="s">
        <v>2762</v>
      </c>
      <c r="E679" s="8" t="s">
        <v>2763</v>
      </c>
      <c r="F679" s="8" t="s">
        <v>2683</v>
      </c>
      <c r="G679" s="8" t="s">
        <v>2684</v>
      </c>
      <c r="H679" s="8" t="s">
        <v>22</v>
      </c>
      <c r="I679" s="8" t="s">
        <v>348</v>
      </c>
      <c r="J679" s="8" t="s">
        <v>2764</v>
      </c>
      <c r="K679" s="6" t="s">
        <v>2765</v>
      </c>
      <c r="L679" s="7" t="s">
        <v>22</v>
      </c>
      <c r="M679" s="6" t="s">
        <v>331</v>
      </c>
      <c r="N679" s="6"/>
      <c r="O679" s="6">
        <f>HYPERLINK("https://docs.wto.org/imrd/directdoc.asp?DDFDocuments/t/G/SPS/NTHA766.DOCX", "https://docs.wto.org/imrd/directdoc.asp?DDFDocuments/t/G/SPS/NTHA766.DOCX")</f>
      </c>
      <c r="P679" s="6">
        <f>HYPERLINK("https://docs.wto.org/imrd/directdoc.asp?DDFDocuments/u/G/SPS/NTHA766.DOCX", "https://docs.wto.org/imrd/directdoc.asp?DDFDocuments/u/G/SPS/NTHA766.DOCX")</f>
      </c>
      <c r="Q679" s="6">
        <f>HYPERLINK("https://docs.wto.org/imrd/directdoc.asp?DDFDocuments/v/G/SPS/NTHA766.DOCX", "https://docs.wto.org/imrd/directdoc.asp?DDFDocuments/v/G/SPS/NTHA766.DOCX")</f>
      </c>
    </row>
    <row r="680">
      <c r="A680" s="6" t="s">
        <v>343</v>
      </c>
      <c r="B680" s="7">
        <v>45611</v>
      </c>
      <c r="C680" s="9">
        <f>HYPERLINK("https://eping.wto.org/en/Search?viewData= G/SPS/N/THA/770"," G/SPS/N/THA/770")</f>
      </c>
      <c r="D680" s="8" t="s">
        <v>2766</v>
      </c>
      <c r="E680" s="8" t="s">
        <v>2767</v>
      </c>
      <c r="F680" s="8" t="s">
        <v>383</v>
      </c>
      <c r="G680" s="8" t="s">
        <v>347</v>
      </c>
      <c r="H680" s="8" t="s">
        <v>22</v>
      </c>
      <c r="I680" s="8" t="s">
        <v>348</v>
      </c>
      <c r="J680" s="8" t="s">
        <v>483</v>
      </c>
      <c r="K680" s="6" t="s">
        <v>400</v>
      </c>
      <c r="L680" s="7" t="s">
        <v>22</v>
      </c>
      <c r="M680" s="6" t="s">
        <v>331</v>
      </c>
      <c r="N680" s="6"/>
      <c r="O680" s="6">
        <f>HYPERLINK("https://docs.wto.org/imrd/directdoc.asp?DDFDocuments/t/G/SPS/NTHA770.DOCX", "https://docs.wto.org/imrd/directdoc.asp?DDFDocuments/t/G/SPS/NTHA770.DOCX")</f>
      </c>
      <c r="P680" s="6">
        <f>HYPERLINK("https://docs.wto.org/imrd/directdoc.asp?DDFDocuments/u/G/SPS/NTHA770.DOCX", "https://docs.wto.org/imrd/directdoc.asp?DDFDocuments/u/G/SPS/NTHA770.DOCX")</f>
      </c>
      <c r="Q680" s="6">
        <f>HYPERLINK("https://docs.wto.org/imrd/directdoc.asp?DDFDocuments/v/G/SPS/NTHA770.DOCX", "https://docs.wto.org/imrd/directdoc.asp?DDFDocuments/v/G/SPS/NTHA770.DOCX")</f>
      </c>
    </row>
    <row r="681">
      <c r="A681" s="6" t="s">
        <v>400</v>
      </c>
      <c r="B681" s="7">
        <v>45611</v>
      </c>
      <c r="C681" s="9">
        <f>HYPERLINK("https://eping.wto.org/en/Search?viewData= G/TBT/N/USA/1645/Add.2/Corr.1"," G/TBT/N/USA/1645/Add.2/Corr.1")</f>
      </c>
      <c r="D681" s="8" t="s">
        <v>2768</v>
      </c>
      <c r="E681" s="8" t="s">
        <v>2769</v>
      </c>
      <c r="F681" s="8" t="s">
        <v>2770</v>
      </c>
      <c r="G681" s="8" t="s">
        <v>22</v>
      </c>
      <c r="H681" s="8" t="s">
        <v>2771</v>
      </c>
      <c r="I681" s="8" t="s">
        <v>619</v>
      </c>
      <c r="J681" s="8" t="s">
        <v>22</v>
      </c>
      <c r="K681" s="6"/>
      <c r="L681" s="7" t="s">
        <v>22</v>
      </c>
      <c r="M681" s="6" t="s">
        <v>248</v>
      </c>
      <c r="N681" s="8" t="s">
        <v>2772</v>
      </c>
      <c r="O681" s="6">
        <f>HYPERLINK("https://docs.wto.org/imrd/directdoc.asp?DDFDocuments/t/G/TBTN20/USA1645A2C1.DOCX", "https://docs.wto.org/imrd/directdoc.asp?DDFDocuments/t/G/TBTN20/USA1645A2C1.DOCX")</f>
      </c>
      <c r="P681" s="6">
        <f>HYPERLINK("https://docs.wto.org/imrd/directdoc.asp?DDFDocuments/u/G/TBTN20/USA1645A2C1.DOCX", "https://docs.wto.org/imrd/directdoc.asp?DDFDocuments/u/G/TBTN20/USA1645A2C1.DOCX")</f>
      </c>
      <c r="Q681" s="6">
        <f>HYPERLINK("https://docs.wto.org/imrd/directdoc.asp?DDFDocuments/v/G/TBTN20/USA1645A2C1.DOCX", "https://docs.wto.org/imrd/directdoc.asp?DDFDocuments/v/G/TBTN20/USA1645A2C1.DOCX")</f>
      </c>
    </row>
    <row r="682">
      <c r="A682" s="6" t="s">
        <v>2670</v>
      </c>
      <c r="B682" s="7">
        <v>45611</v>
      </c>
      <c r="C682" s="9">
        <f>HYPERLINK("https://eping.wto.org/en/Search?viewData= G/TBT/N/MWI/137"," G/TBT/N/MWI/137")</f>
      </c>
      <c r="D682" s="8" t="s">
        <v>2773</v>
      </c>
      <c r="E682" s="8" t="s">
        <v>2774</v>
      </c>
      <c r="F682" s="8" t="s">
        <v>2775</v>
      </c>
      <c r="G682" s="8" t="s">
        <v>2674</v>
      </c>
      <c r="H682" s="8" t="s">
        <v>2675</v>
      </c>
      <c r="I682" s="8" t="s">
        <v>272</v>
      </c>
      <c r="J682" s="8" t="s">
        <v>58</v>
      </c>
      <c r="K682" s="6"/>
      <c r="L682" s="7">
        <v>45671</v>
      </c>
      <c r="M682" s="6" t="s">
        <v>32</v>
      </c>
      <c r="N682" s="8" t="s">
        <v>2776</v>
      </c>
      <c r="O682" s="6">
        <f>HYPERLINK("https://docs.wto.org/imrd/directdoc.asp?DDFDocuments/t/G/TBTN24/MWI137.DOCX", "https://docs.wto.org/imrd/directdoc.asp?DDFDocuments/t/G/TBTN24/MWI137.DOCX")</f>
      </c>
      <c r="P682" s="6">
        <f>HYPERLINK("https://docs.wto.org/imrd/directdoc.asp?DDFDocuments/u/G/TBTN24/MWI137.DOCX", "https://docs.wto.org/imrd/directdoc.asp?DDFDocuments/u/G/TBTN24/MWI137.DOCX")</f>
      </c>
      <c r="Q682" s="6">
        <f>HYPERLINK("https://docs.wto.org/imrd/directdoc.asp?DDFDocuments/v/G/TBTN24/MWI137.DOCX", "https://docs.wto.org/imrd/directdoc.asp?DDFDocuments/v/G/TBTN24/MWI137.DOCX")</f>
      </c>
    </row>
    <row r="683">
      <c r="A683" s="6" t="s">
        <v>2670</v>
      </c>
      <c r="B683" s="7">
        <v>45611</v>
      </c>
      <c r="C683" s="9">
        <f>HYPERLINK("https://eping.wto.org/en/Search?viewData= G/TBT/N/MWI/125"," G/TBT/N/MWI/125")</f>
      </c>
      <c r="D683" s="8" t="s">
        <v>2777</v>
      </c>
      <c r="E683" s="8" t="s">
        <v>2778</v>
      </c>
      <c r="F683" s="8" t="s">
        <v>2673</v>
      </c>
      <c r="G683" s="8" t="s">
        <v>2701</v>
      </c>
      <c r="H683" s="8" t="s">
        <v>2675</v>
      </c>
      <c r="I683" s="8" t="s">
        <v>272</v>
      </c>
      <c r="J683" s="8" t="s">
        <v>58</v>
      </c>
      <c r="K683" s="6"/>
      <c r="L683" s="7">
        <v>45671</v>
      </c>
      <c r="M683" s="6" t="s">
        <v>32</v>
      </c>
      <c r="N683" s="8" t="s">
        <v>2779</v>
      </c>
      <c r="O683" s="6">
        <f>HYPERLINK("https://docs.wto.org/imrd/directdoc.asp?DDFDocuments/t/G/TBTN24/MWI125.DOCX", "https://docs.wto.org/imrd/directdoc.asp?DDFDocuments/t/G/TBTN24/MWI125.DOCX")</f>
      </c>
      <c r="P683" s="6">
        <f>HYPERLINK("https://docs.wto.org/imrd/directdoc.asp?DDFDocuments/u/G/TBTN24/MWI125.DOCX", "https://docs.wto.org/imrd/directdoc.asp?DDFDocuments/u/G/TBTN24/MWI125.DOCX")</f>
      </c>
      <c r="Q683" s="6">
        <f>HYPERLINK("https://docs.wto.org/imrd/directdoc.asp?DDFDocuments/v/G/TBTN24/MWI125.DOCX", "https://docs.wto.org/imrd/directdoc.asp?DDFDocuments/v/G/TBTN24/MWI125.DOCX")</f>
      </c>
    </row>
    <row r="684">
      <c r="A684" s="6" t="s">
        <v>2670</v>
      </c>
      <c r="B684" s="7">
        <v>45611</v>
      </c>
      <c r="C684" s="9">
        <f>HYPERLINK("https://eping.wto.org/en/Search?viewData= G/TBT/N/MWI/133"," G/TBT/N/MWI/133")</f>
      </c>
      <c r="D684" s="8" t="s">
        <v>2780</v>
      </c>
      <c r="E684" s="8" t="s">
        <v>2781</v>
      </c>
      <c r="F684" s="8" t="s">
        <v>2679</v>
      </c>
      <c r="G684" s="8" t="s">
        <v>2674</v>
      </c>
      <c r="H684" s="8" t="s">
        <v>2256</v>
      </c>
      <c r="I684" s="8" t="s">
        <v>272</v>
      </c>
      <c r="J684" s="8" t="s">
        <v>58</v>
      </c>
      <c r="K684" s="6"/>
      <c r="L684" s="7">
        <v>45671</v>
      </c>
      <c r="M684" s="6" t="s">
        <v>32</v>
      </c>
      <c r="N684" s="8" t="s">
        <v>2782</v>
      </c>
      <c r="O684" s="6">
        <f>HYPERLINK("https://docs.wto.org/imrd/directdoc.asp?DDFDocuments/t/G/TBTN24/MWI133.DOCX", "https://docs.wto.org/imrd/directdoc.asp?DDFDocuments/t/G/TBTN24/MWI133.DOCX")</f>
      </c>
      <c r="P684" s="6">
        <f>HYPERLINK("https://docs.wto.org/imrd/directdoc.asp?DDFDocuments/u/G/TBTN24/MWI133.DOCX", "https://docs.wto.org/imrd/directdoc.asp?DDFDocuments/u/G/TBTN24/MWI133.DOCX")</f>
      </c>
      <c r="Q684" s="6">
        <f>HYPERLINK("https://docs.wto.org/imrd/directdoc.asp?DDFDocuments/v/G/TBTN24/MWI133.DOCX", "https://docs.wto.org/imrd/directdoc.asp?DDFDocuments/v/G/TBTN24/MWI133.DOCX")</f>
      </c>
    </row>
    <row r="685">
      <c r="A685" s="6" t="s">
        <v>2670</v>
      </c>
      <c r="B685" s="7">
        <v>45611</v>
      </c>
      <c r="C685" s="9">
        <f>HYPERLINK("https://eping.wto.org/en/Search?viewData= G/TBT/N/MWI/124"," G/TBT/N/MWI/124")</f>
      </c>
      <c r="D685" s="8" t="s">
        <v>2783</v>
      </c>
      <c r="E685" s="8" t="s">
        <v>2784</v>
      </c>
      <c r="F685" s="8" t="s">
        <v>2673</v>
      </c>
      <c r="G685" s="8" t="s">
        <v>2674</v>
      </c>
      <c r="H685" s="8" t="s">
        <v>2675</v>
      </c>
      <c r="I685" s="8" t="s">
        <v>272</v>
      </c>
      <c r="J685" s="8" t="s">
        <v>58</v>
      </c>
      <c r="K685" s="6"/>
      <c r="L685" s="7">
        <v>45671</v>
      </c>
      <c r="M685" s="6" t="s">
        <v>32</v>
      </c>
      <c r="N685" s="8" t="s">
        <v>2785</v>
      </c>
      <c r="O685" s="6">
        <f>HYPERLINK("https://docs.wto.org/imrd/directdoc.asp?DDFDocuments/t/G/TBTN24/MWI124.DOCX", "https://docs.wto.org/imrd/directdoc.asp?DDFDocuments/t/G/TBTN24/MWI124.DOCX")</f>
      </c>
      <c r="P685" s="6">
        <f>HYPERLINK("https://docs.wto.org/imrd/directdoc.asp?DDFDocuments/u/G/TBTN24/MWI124.DOCX", "https://docs.wto.org/imrd/directdoc.asp?DDFDocuments/u/G/TBTN24/MWI124.DOCX")</f>
      </c>
      <c r="Q685" s="6">
        <f>HYPERLINK("https://docs.wto.org/imrd/directdoc.asp?DDFDocuments/v/G/TBTN24/MWI124.DOCX", "https://docs.wto.org/imrd/directdoc.asp?DDFDocuments/v/G/TBTN24/MWI124.DOCX")</f>
      </c>
    </row>
    <row r="686">
      <c r="A686" s="6" t="s">
        <v>343</v>
      </c>
      <c r="B686" s="7">
        <v>45611</v>
      </c>
      <c r="C686" s="9">
        <f>HYPERLINK("https://eping.wto.org/en/Search?viewData= G/SPS/N/THA/767"," G/SPS/N/THA/767")</f>
      </c>
      <c r="D686" s="8" t="s">
        <v>2786</v>
      </c>
      <c r="E686" s="8" t="s">
        <v>2787</v>
      </c>
      <c r="F686" s="8" t="s">
        <v>2683</v>
      </c>
      <c r="G686" s="8" t="s">
        <v>2684</v>
      </c>
      <c r="H686" s="8" t="s">
        <v>22</v>
      </c>
      <c r="I686" s="8" t="s">
        <v>348</v>
      </c>
      <c r="J686" s="8" t="s">
        <v>2788</v>
      </c>
      <c r="K686" s="6" t="s">
        <v>2789</v>
      </c>
      <c r="L686" s="7" t="s">
        <v>22</v>
      </c>
      <c r="M686" s="6" t="s">
        <v>331</v>
      </c>
      <c r="N686" s="6"/>
      <c r="O686" s="6">
        <f>HYPERLINK("https://docs.wto.org/imrd/directdoc.asp?DDFDocuments/t/G/SPS/NTHA767.DOCX", "https://docs.wto.org/imrd/directdoc.asp?DDFDocuments/t/G/SPS/NTHA767.DOCX")</f>
      </c>
      <c r="P686" s="6">
        <f>HYPERLINK("https://docs.wto.org/imrd/directdoc.asp?DDFDocuments/u/G/SPS/NTHA767.DOCX", "https://docs.wto.org/imrd/directdoc.asp?DDFDocuments/u/G/SPS/NTHA767.DOCX")</f>
      </c>
      <c r="Q686" s="6">
        <f>HYPERLINK("https://docs.wto.org/imrd/directdoc.asp?DDFDocuments/v/G/SPS/NTHA767.DOCX", "https://docs.wto.org/imrd/directdoc.asp?DDFDocuments/v/G/SPS/NTHA767.DOCX")</f>
      </c>
    </row>
    <row r="687">
      <c r="A687" s="6" t="s">
        <v>2670</v>
      </c>
      <c r="B687" s="7">
        <v>45611</v>
      </c>
      <c r="C687" s="9">
        <f>HYPERLINK("https://eping.wto.org/en/Search?viewData= G/TBT/N/MWI/126"," G/TBT/N/MWI/126")</f>
      </c>
      <c r="D687" s="8" t="s">
        <v>2790</v>
      </c>
      <c r="E687" s="8" t="s">
        <v>2791</v>
      </c>
      <c r="F687" s="8" t="s">
        <v>2673</v>
      </c>
      <c r="G687" s="8" t="s">
        <v>2674</v>
      </c>
      <c r="H687" s="8" t="s">
        <v>2675</v>
      </c>
      <c r="I687" s="8" t="s">
        <v>272</v>
      </c>
      <c r="J687" s="8" t="s">
        <v>58</v>
      </c>
      <c r="K687" s="6"/>
      <c r="L687" s="7">
        <v>45671</v>
      </c>
      <c r="M687" s="6" t="s">
        <v>32</v>
      </c>
      <c r="N687" s="8" t="s">
        <v>2792</v>
      </c>
      <c r="O687" s="6">
        <f>HYPERLINK("https://docs.wto.org/imrd/directdoc.asp?DDFDocuments/t/G/TBTN24/MWI126.DOCX", "https://docs.wto.org/imrd/directdoc.asp?DDFDocuments/t/G/TBTN24/MWI126.DOCX")</f>
      </c>
      <c r="P687" s="6">
        <f>HYPERLINK("https://docs.wto.org/imrd/directdoc.asp?DDFDocuments/u/G/TBTN24/MWI126.DOCX", "https://docs.wto.org/imrd/directdoc.asp?DDFDocuments/u/G/TBTN24/MWI126.DOCX")</f>
      </c>
      <c r="Q687" s="6">
        <f>HYPERLINK("https://docs.wto.org/imrd/directdoc.asp?DDFDocuments/v/G/TBTN24/MWI126.DOCX", "https://docs.wto.org/imrd/directdoc.asp?DDFDocuments/v/G/TBTN24/MWI126.DOCX")</f>
      </c>
    </row>
    <row r="688">
      <c r="A688" s="6" t="s">
        <v>2670</v>
      </c>
      <c r="B688" s="7">
        <v>45611</v>
      </c>
      <c r="C688" s="9">
        <f>HYPERLINK("https://eping.wto.org/en/Search?viewData= G/TBT/N/MWI/120"," G/TBT/N/MWI/120")</f>
      </c>
      <c r="D688" s="8" t="s">
        <v>2793</v>
      </c>
      <c r="E688" s="8" t="s">
        <v>2794</v>
      </c>
      <c r="F688" s="8" t="s">
        <v>2679</v>
      </c>
      <c r="G688" s="8" t="s">
        <v>2795</v>
      </c>
      <c r="H688" s="8" t="s">
        <v>2256</v>
      </c>
      <c r="I688" s="8" t="s">
        <v>272</v>
      </c>
      <c r="J688" s="8" t="s">
        <v>58</v>
      </c>
      <c r="K688" s="6"/>
      <c r="L688" s="7">
        <v>45671</v>
      </c>
      <c r="M688" s="6" t="s">
        <v>32</v>
      </c>
      <c r="N688" s="8" t="s">
        <v>2796</v>
      </c>
      <c r="O688" s="6">
        <f>HYPERLINK("https://docs.wto.org/imrd/directdoc.asp?DDFDocuments/t/G/TBTN24/MWI120.DOCX", "https://docs.wto.org/imrd/directdoc.asp?DDFDocuments/t/G/TBTN24/MWI120.DOCX")</f>
      </c>
      <c r="P688" s="6">
        <f>HYPERLINK("https://docs.wto.org/imrd/directdoc.asp?DDFDocuments/u/G/TBTN24/MWI120.DOCX", "https://docs.wto.org/imrd/directdoc.asp?DDFDocuments/u/G/TBTN24/MWI120.DOCX")</f>
      </c>
      <c r="Q688" s="6">
        <f>HYPERLINK("https://docs.wto.org/imrd/directdoc.asp?DDFDocuments/v/G/TBTN24/MWI120.DOCX", "https://docs.wto.org/imrd/directdoc.asp?DDFDocuments/v/G/TBTN24/MWI120.DOCX")</f>
      </c>
    </row>
    <row r="689">
      <c r="A689" s="6" t="s">
        <v>343</v>
      </c>
      <c r="B689" s="7">
        <v>45611</v>
      </c>
      <c r="C689" s="9">
        <f>HYPERLINK("https://eping.wto.org/en/Search?viewData= G/SPS/N/THA/763"," G/SPS/N/THA/763")</f>
      </c>
      <c r="D689" s="8" t="s">
        <v>2797</v>
      </c>
      <c r="E689" s="8" t="s">
        <v>2798</v>
      </c>
      <c r="F689" s="8" t="s">
        <v>2683</v>
      </c>
      <c r="G689" s="8" t="s">
        <v>2684</v>
      </c>
      <c r="H689" s="8" t="s">
        <v>22</v>
      </c>
      <c r="I689" s="8" t="s">
        <v>348</v>
      </c>
      <c r="J689" s="8" t="s">
        <v>2685</v>
      </c>
      <c r="K689" s="6" t="s">
        <v>17</v>
      </c>
      <c r="L689" s="7" t="s">
        <v>22</v>
      </c>
      <c r="M689" s="6" t="s">
        <v>331</v>
      </c>
      <c r="N689" s="6"/>
      <c r="O689" s="6">
        <f>HYPERLINK("https://docs.wto.org/imrd/directdoc.asp?DDFDocuments/t/G/SPS/NTHA763.DOCX", "https://docs.wto.org/imrd/directdoc.asp?DDFDocuments/t/G/SPS/NTHA763.DOCX")</f>
      </c>
      <c r="P689" s="6">
        <f>HYPERLINK("https://docs.wto.org/imrd/directdoc.asp?DDFDocuments/u/G/SPS/NTHA763.DOCX", "https://docs.wto.org/imrd/directdoc.asp?DDFDocuments/u/G/SPS/NTHA763.DOCX")</f>
      </c>
      <c r="Q689" s="6">
        <f>HYPERLINK("https://docs.wto.org/imrd/directdoc.asp?DDFDocuments/v/G/SPS/NTHA763.DOCX", "https://docs.wto.org/imrd/directdoc.asp?DDFDocuments/v/G/SPS/NTHA763.DOCX")</f>
      </c>
    </row>
    <row r="690">
      <c r="A690" s="6" t="s">
        <v>343</v>
      </c>
      <c r="B690" s="7">
        <v>45611</v>
      </c>
      <c r="C690" s="9">
        <f>HYPERLINK("https://eping.wto.org/en/Search?viewData= G/SPS/N/THA/769"," G/SPS/N/THA/769")</f>
      </c>
      <c r="D690" s="8" t="s">
        <v>2799</v>
      </c>
      <c r="E690" s="8" t="s">
        <v>2800</v>
      </c>
      <c r="F690" s="8" t="s">
        <v>383</v>
      </c>
      <c r="G690" s="8" t="s">
        <v>347</v>
      </c>
      <c r="H690" s="8" t="s">
        <v>22</v>
      </c>
      <c r="I690" s="8" t="s">
        <v>348</v>
      </c>
      <c r="J690" s="8" t="s">
        <v>1682</v>
      </c>
      <c r="K690" s="6" t="s">
        <v>2765</v>
      </c>
      <c r="L690" s="7" t="s">
        <v>22</v>
      </c>
      <c r="M690" s="6" t="s">
        <v>331</v>
      </c>
      <c r="N690" s="6"/>
      <c r="O690" s="6">
        <f>HYPERLINK("https://docs.wto.org/imrd/directdoc.asp?DDFDocuments/t/G/SPS/NTHA769.DOCX", "https://docs.wto.org/imrd/directdoc.asp?DDFDocuments/t/G/SPS/NTHA769.DOCX")</f>
      </c>
      <c r="P690" s="6">
        <f>HYPERLINK("https://docs.wto.org/imrd/directdoc.asp?DDFDocuments/u/G/SPS/NTHA769.DOCX", "https://docs.wto.org/imrd/directdoc.asp?DDFDocuments/u/G/SPS/NTHA769.DOCX")</f>
      </c>
      <c r="Q690" s="6">
        <f>HYPERLINK("https://docs.wto.org/imrd/directdoc.asp?DDFDocuments/v/G/SPS/NTHA769.DOCX", "https://docs.wto.org/imrd/directdoc.asp?DDFDocuments/v/G/SPS/NTHA769.DOCX")</f>
      </c>
    </row>
    <row r="691">
      <c r="A691" s="6" t="s">
        <v>17</v>
      </c>
      <c r="B691" s="7">
        <v>45611</v>
      </c>
      <c r="C691" s="9">
        <f>HYPERLINK("https://eping.wto.org/en/Search?viewData= G/TBT/N/KOR/1239"," G/TBT/N/KOR/1239")</f>
      </c>
      <c r="D691" s="8" t="s">
        <v>2801</v>
      </c>
      <c r="E691" s="8" t="s">
        <v>2802</v>
      </c>
      <c r="F691" s="8" t="s">
        <v>2803</v>
      </c>
      <c r="G691" s="8" t="s">
        <v>22</v>
      </c>
      <c r="H691" s="8" t="s">
        <v>1924</v>
      </c>
      <c r="I691" s="8" t="s">
        <v>701</v>
      </c>
      <c r="J691" s="8" t="s">
        <v>558</v>
      </c>
      <c r="K691" s="6"/>
      <c r="L691" s="7">
        <v>45671</v>
      </c>
      <c r="M691" s="6" t="s">
        <v>32</v>
      </c>
      <c r="N691" s="8" t="s">
        <v>2804</v>
      </c>
      <c r="O691" s="6">
        <f>HYPERLINK("https://docs.wto.org/imrd/directdoc.asp?DDFDocuments/t/G/TBTN24/KOR1239.DOCX", "https://docs.wto.org/imrd/directdoc.asp?DDFDocuments/t/G/TBTN24/KOR1239.DOCX")</f>
      </c>
      <c r="P691" s="6">
        <f>HYPERLINK("https://docs.wto.org/imrd/directdoc.asp?DDFDocuments/u/G/TBTN24/KOR1239.DOCX", "https://docs.wto.org/imrd/directdoc.asp?DDFDocuments/u/G/TBTN24/KOR1239.DOCX")</f>
      </c>
      <c r="Q691" s="6">
        <f>HYPERLINK("https://docs.wto.org/imrd/directdoc.asp?DDFDocuments/v/G/TBTN24/KOR1239.DOCX", "https://docs.wto.org/imrd/directdoc.asp?DDFDocuments/v/G/TBTN24/KOR1239.DOCX")</f>
      </c>
    </row>
    <row r="692">
      <c r="A692" s="6" t="s">
        <v>2670</v>
      </c>
      <c r="B692" s="7">
        <v>45611</v>
      </c>
      <c r="C692" s="9">
        <f>HYPERLINK("https://eping.wto.org/en/Search?viewData= G/TBT/N/MWI/132"," G/TBT/N/MWI/132")</f>
      </c>
      <c r="D692" s="8" t="s">
        <v>2805</v>
      </c>
      <c r="E692" s="8" t="s">
        <v>2806</v>
      </c>
      <c r="F692" s="8" t="s">
        <v>2673</v>
      </c>
      <c r="G692" s="8" t="s">
        <v>2674</v>
      </c>
      <c r="H692" s="8" t="s">
        <v>2675</v>
      </c>
      <c r="I692" s="8" t="s">
        <v>272</v>
      </c>
      <c r="J692" s="8" t="s">
        <v>58</v>
      </c>
      <c r="K692" s="6"/>
      <c r="L692" s="7">
        <v>45671</v>
      </c>
      <c r="M692" s="6" t="s">
        <v>32</v>
      </c>
      <c r="N692" s="8" t="s">
        <v>2807</v>
      </c>
      <c r="O692" s="6">
        <f>HYPERLINK("https://docs.wto.org/imrd/directdoc.asp?DDFDocuments/t/G/TBTN24/MWI132.DOCX", "https://docs.wto.org/imrd/directdoc.asp?DDFDocuments/t/G/TBTN24/MWI132.DOCX")</f>
      </c>
      <c r="P692" s="6">
        <f>HYPERLINK("https://docs.wto.org/imrd/directdoc.asp?DDFDocuments/u/G/TBTN24/MWI132.DOCX", "https://docs.wto.org/imrd/directdoc.asp?DDFDocuments/u/G/TBTN24/MWI132.DOCX")</f>
      </c>
      <c r="Q692" s="6">
        <f>HYPERLINK("https://docs.wto.org/imrd/directdoc.asp?DDFDocuments/v/G/TBTN24/MWI132.DOCX", "https://docs.wto.org/imrd/directdoc.asp?DDFDocuments/v/G/TBTN24/MWI132.DOCX")</f>
      </c>
    </row>
    <row r="693">
      <c r="A693" s="6" t="s">
        <v>343</v>
      </c>
      <c r="B693" s="7">
        <v>45611</v>
      </c>
      <c r="C693" s="9">
        <f>HYPERLINK("https://eping.wto.org/en/Search?viewData= G/SPS/N/THA/765"," G/SPS/N/THA/765")</f>
      </c>
      <c r="D693" s="8" t="s">
        <v>2808</v>
      </c>
      <c r="E693" s="8" t="s">
        <v>2809</v>
      </c>
      <c r="F693" s="8" t="s">
        <v>2683</v>
      </c>
      <c r="G693" s="8" t="s">
        <v>2684</v>
      </c>
      <c r="H693" s="8" t="s">
        <v>22</v>
      </c>
      <c r="I693" s="8" t="s">
        <v>348</v>
      </c>
      <c r="J693" s="8" t="s">
        <v>2810</v>
      </c>
      <c r="K693" s="6" t="s">
        <v>1130</v>
      </c>
      <c r="L693" s="7" t="s">
        <v>22</v>
      </c>
      <c r="M693" s="6" t="s">
        <v>331</v>
      </c>
      <c r="N693" s="6"/>
      <c r="O693" s="6">
        <f>HYPERLINK("https://docs.wto.org/imrd/directdoc.asp?DDFDocuments/t/G/SPS/NTHA765.DOCX", "https://docs.wto.org/imrd/directdoc.asp?DDFDocuments/t/G/SPS/NTHA765.DOCX")</f>
      </c>
      <c r="P693" s="6">
        <f>HYPERLINK("https://docs.wto.org/imrd/directdoc.asp?DDFDocuments/u/G/SPS/NTHA765.DOCX", "https://docs.wto.org/imrd/directdoc.asp?DDFDocuments/u/G/SPS/NTHA765.DOCX")</f>
      </c>
      <c r="Q693" s="6">
        <f>HYPERLINK("https://docs.wto.org/imrd/directdoc.asp?DDFDocuments/v/G/SPS/NTHA765.DOCX", "https://docs.wto.org/imrd/directdoc.asp?DDFDocuments/v/G/SPS/NTHA765.DOCX")</f>
      </c>
    </row>
    <row r="694">
      <c r="A694" s="6" t="s">
        <v>2670</v>
      </c>
      <c r="B694" s="7">
        <v>45611</v>
      </c>
      <c r="C694" s="9">
        <f>HYPERLINK("https://eping.wto.org/en/Search?viewData= G/TBT/N/MWI/121"," G/TBT/N/MWI/121")</f>
      </c>
      <c r="D694" s="8" t="s">
        <v>2811</v>
      </c>
      <c r="E694" s="8" t="s">
        <v>2812</v>
      </c>
      <c r="F694" s="8" t="s">
        <v>2679</v>
      </c>
      <c r="G694" s="8" t="s">
        <v>2813</v>
      </c>
      <c r="H694" s="8" t="s">
        <v>2256</v>
      </c>
      <c r="I694" s="8" t="s">
        <v>272</v>
      </c>
      <c r="J694" s="8" t="s">
        <v>58</v>
      </c>
      <c r="K694" s="6"/>
      <c r="L694" s="7">
        <v>45671</v>
      </c>
      <c r="M694" s="6" t="s">
        <v>32</v>
      </c>
      <c r="N694" s="8" t="s">
        <v>2814</v>
      </c>
      <c r="O694" s="6">
        <f>HYPERLINK("https://docs.wto.org/imrd/directdoc.asp?DDFDocuments/t/G/TBTN24/MWI121.DOCX", "https://docs.wto.org/imrd/directdoc.asp?DDFDocuments/t/G/TBTN24/MWI121.DOCX")</f>
      </c>
      <c r="P694" s="6">
        <f>HYPERLINK("https://docs.wto.org/imrd/directdoc.asp?DDFDocuments/u/G/TBTN24/MWI121.DOCX", "https://docs.wto.org/imrd/directdoc.asp?DDFDocuments/u/G/TBTN24/MWI121.DOCX")</f>
      </c>
      <c r="Q694" s="6">
        <f>HYPERLINK("https://docs.wto.org/imrd/directdoc.asp?DDFDocuments/v/G/TBTN24/MWI121.DOCX", "https://docs.wto.org/imrd/directdoc.asp?DDFDocuments/v/G/TBTN24/MWI121.DOCX")</f>
      </c>
    </row>
    <row r="695">
      <c r="A695" s="6" t="s">
        <v>343</v>
      </c>
      <c r="B695" s="7">
        <v>45611</v>
      </c>
      <c r="C695" s="9">
        <f>HYPERLINK("https://eping.wto.org/en/Search?viewData= G/SPS/N/THA/773"," G/SPS/N/THA/773")</f>
      </c>
      <c r="D695" s="8" t="s">
        <v>2815</v>
      </c>
      <c r="E695" s="8" t="s">
        <v>2816</v>
      </c>
      <c r="F695" s="8" t="s">
        <v>1710</v>
      </c>
      <c r="G695" s="8" t="s">
        <v>347</v>
      </c>
      <c r="H695" s="8" t="s">
        <v>22</v>
      </c>
      <c r="I695" s="8" t="s">
        <v>348</v>
      </c>
      <c r="J695" s="8" t="s">
        <v>2817</v>
      </c>
      <c r="K695" s="6" t="s">
        <v>330</v>
      </c>
      <c r="L695" s="7" t="s">
        <v>22</v>
      </c>
      <c r="M695" s="6" t="s">
        <v>331</v>
      </c>
      <c r="N695" s="6"/>
      <c r="O695" s="6">
        <f>HYPERLINK("https://docs.wto.org/imrd/directdoc.asp?DDFDocuments/t/G/SPS/NTHA773.DOCX", "https://docs.wto.org/imrd/directdoc.asp?DDFDocuments/t/G/SPS/NTHA773.DOCX")</f>
      </c>
      <c r="P695" s="6">
        <f>HYPERLINK("https://docs.wto.org/imrd/directdoc.asp?DDFDocuments/u/G/SPS/NTHA773.DOCX", "https://docs.wto.org/imrd/directdoc.asp?DDFDocuments/u/G/SPS/NTHA773.DOCX")</f>
      </c>
      <c r="Q695" s="6">
        <f>HYPERLINK("https://docs.wto.org/imrd/directdoc.asp?DDFDocuments/v/G/SPS/NTHA773.DOCX", "https://docs.wto.org/imrd/directdoc.asp?DDFDocuments/v/G/SPS/NTHA773.DOCX")</f>
      </c>
    </row>
    <row r="696">
      <c r="A696" s="6" t="s">
        <v>132</v>
      </c>
      <c r="B696" s="7">
        <v>45611</v>
      </c>
      <c r="C696" s="9">
        <f>HYPERLINK("https://eping.wto.org/en/Search?viewData= G/SPS/N/CAN/1578"," G/SPS/N/CAN/1578")</f>
      </c>
      <c r="D696" s="8" t="s">
        <v>2818</v>
      </c>
      <c r="E696" s="8" t="s">
        <v>2819</v>
      </c>
      <c r="F696" s="8" t="s">
        <v>2820</v>
      </c>
      <c r="G696" s="8" t="s">
        <v>2821</v>
      </c>
      <c r="H696" s="8" t="s">
        <v>22</v>
      </c>
      <c r="I696" s="8" t="s">
        <v>120</v>
      </c>
      <c r="J696" s="8" t="s">
        <v>121</v>
      </c>
      <c r="K696" s="6" t="s">
        <v>22</v>
      </c>
      <c r="L696" s="7">
        <v>45678</v>
      </c>
      <c r="M696" s="6" t="s">
        <v>32</v>
      </c>
      <c r="N696" s="6"/>
      <c r="O696" s="6">
        <f>HYPERLINK("https://docs.wto.org/imrd/directdoc.asp?DDFDocuments/t/G/SPS/NCAN1578.DOCX", "https://docs.wto.org/imrd/directdoc.asp?DDFDocuments/t/G/SPS/NCAN1578.DOCX")</f>
      </c>
      <c r="P696" s="6">
        <f>HYPERLINK("https://docs.wto.org/imrd/directdoc.asp?DDFDocuments/u/G/SPS/NCAN1578.DOCX", "https://docs.wto.org/imrd/directdoc.asp?DDFDocuments/u/G/SPS/NCAN1578.DOCX")</f>
      </c>
      <c r="Q696" s="6">
        <f>HYPERLINK("https://docs.wto.org/imrd/directdoc.asp?DDFDocuments/v/G/SPS/NCAN1578.DOCX", "https://docs.wto.org/imrd/directdoc.asp?DDFDocuments/v/G/SPS/NCAN1578.DOCX")</f>
      </c>
    </row>
    <row r="697">
      <c r="A697" s="6" t="s">
        <v>2670</v>
      </c>
      <c r="B697" s="7">
        <v>45611</v>
      </c>
      <c r="C697" s="9">
        <f>HYPERLINK("https://eping.wto.org/en/Search?viewData= G/TBT/N/MWI/129"," G/TBT/N/MWI/129")</f>
      </c>
      <c r="D697" s="8" t="s">
        <v>2822</v>
      </c>
      <c r="E697" s="8" t="s">
        <v>2823</v>
      </c>
      <c r="F697" s="8" t="s">
        <v>2824</v>
      </c>
      <c r="G697" s="8" t="s">
        <v>2825</v>
      </c>
      <c r="H697" s="8" t="s">
        <v>2256</v>
      </c>
      <c r="I697" s="8" t="s">
        <v>272</v>
      </c>
      <c r="J697" s="8" t="s">
        <v>58</v>
      </c>
      <c r="K697" s="6"/>
      <c r="L697" s="7">
        <v>45671</v>
      </c>
      <c r="M697" s="6" t="s">
        <v>32</v>
      </c>
      <c r="N697" s="8" t="s">
        <v>2826</v>
      </c>
      <c r="O697" s="6">
        <f>HYPERLINK("https://docs.wto.org/imrd/directdoc.asp?DDFDocuments/t/G/TBTN24/MWI129.DOCX", "https://docs.wto.org/imrd/directdoc.asp?DDFDocuments/t/G/TBTN24/MWI129.DOCX")</f>
      </c>
      <c r="P697" s="6">
        <f>HYPERLINK("https://docs.wto.org/imrd/directdoc.asp?DDFDocuments/u/G/TBTN24/MWI129.DOCX", "https://docs.wto.org/imrd/directdoc.asp?DDFDocuments/u/G/TBTN24/MWI129.DOCX")</f>
      </c>
      <c r="Q697" s="6">
        <f>HYPERLINK("https://docs.wto.org/imrd/directdoc.asp?DDFDocuments/v/G/TBTN24/MWI129.DOCX", "https://docs.wto.org/imrd/directdoc.asp?DDFDocuments/v/G/TBTN24/MWI129.DOCX")</f>
      </c>
    </row>
    <row r="698">
      <c r="A698" s="6" t="s">
        <v>847</v>
      </c>
      <c r="B698" s="7">
        <v>45610</v>
      </c>
      <c r="C698" s="9">
        <f>HYPERLINK("https://eping.wto.org/en/Search?viewData= G/SPS/N/UKR/228/Add.1"," G/SPS/N/UKR/228/Add.1")</f>
      </c>
      <c r="D698" s="8" t="s">
        <v>2827</v>
      </c>
      <c r="E698" s="8" t="s">
        <v>2828</v>
      </c>
      <c r="F698" s="8" t="s">
        <v>2829</v>
      </c>
      <c r="G698" s="8" t="s">
        <v>1620</v>
      </c>
      <c r="H698" s="8" t="s">
        <v>2830</v>
      </c>
      <c r="I698" s="8" t="s">
        <v>175</v>
      </c>
      <c r="J698" s="8" t="s">
        <v>2831</v>
      </c>
      <c r="K698" s="6"/>
      <c r="L698" s="7" t="s">
        <v>22</v>
      </c>
      <c r="M698" s="6" t="s">
        <v>40</v>
      </c>
      <c r="N698" s="8" t="s">
        <v>2832</v>
      </c>
      <c r="O698" s="6">
        <f>HYPERLINK("https://docs.wto.org/imrd/directdoc.asp?DDFDocuments/t/G/SPS/NUKR228A1.DOCX", "https://docs.wto.org/imrd/directdoc.asp?DDFDocuments/t/G/SPS/NUKR228A1.DOCX")</f>
      </c>
      <c r="P698" s="6">
        <f>HYPERLINK("https://docs.wto.org/imrd/directdoc.asp?DDFDocuments/u/G/SPS/NUKR228A1.DOCX", "https://docs.wto.org/imrd/directdoc.asp?DDFDocuments/u/G/SPS/NUKR228A1.DOCX")</f>
      </c>
      <c r="Q698" s="6">
        <f>HYPERLINK("https://docs.wto.org/imrd/directdoc.asp?DDFDocuments/v/G/SPS/NUKR228A1.DOCX", "https://docs.wto.org/imrd/directdoc.asp?DDFDocuments/v/G/SPS/NUKR228A1.DOCX")</f>
      </c>
    </row>
    <row r="699">
      <c r="A699" s="6" t="s">
        <v>400</v>
      </c>
      <c r="B699" s="7">
        <v>45610</v>
      </c>
      <c r="C699" s="9">
        <f>HYPERLINK("https://eping.wto.org/en/Search?viewData= G/SPS/N/USA/3484"," G/SPS/N/USA/3484")</f>
      </c>
      <c r="D699" s="8" t="s">
        <v>2833</v>
      </c>
      <c r="E699" s="8" t="s">
        <v>2834</v>
      </c>
      <c r="F699" s="8" t="s">
        <v>2835</v>
      </c>
      <c r="G699" s="8" t="s">
        <v>2836</v>
      </c>
      <c r="H699" s="8" t="s">
        <v>22</v>
      </c>
      <c r="I699" s="8" t="s">
        <v>128</v>
      </c>
      <c r="J699" s="8" t="s">
        <v>440</v>
      </c>
      <c r="K699" s="6" t="s">
        <v>2837</v>
      </c>
      <c r="L699" s="7">
        <v>45663</v>
      </c>
      <c r="M699" s="6" t="s">
        <v>32</v>
      </c>
      <c r="N699" s="8" t="s">
        <v>2838</v>
      </c>
      <c r="O699" s="6">
        <f>HYPERLINK("https://docs.wto.org/imrd/directdoc.asp?DDFDocuments/t/G/SPS/NUSA3484.DOCX", "https://docs.wto.org/imrd/directdoc.asp?DDFDocuments/t/G/SPS/NUSA3484.DOCX")</f>
      </c>
      <c r="P699" s="6">
        <f>HYPERLINK("https://docs.wto.org/imrd/directdoc.asp?DDFDocuments/u/G/SPS/NUSA3484.DOCX", "https://docs.wto.org/imrd/directdoc.asp?DDFDocuments/u/G/SPS/NUSA3484.DOCX")</f>
      </c>
      <c r="Q699" s="6">
        <f>HYPERLINK("https://docs.wto.org/imrd/directdoc.asp?DDFDocuments/v/G/SPS/NUSA3484.DOCX", "https://docs.wto.org/imrd/directdoc.asp?DDFDocuments/v/G/SPS/NUSA3484.DOCX")</f>
      </c>
    </row>
    <row r="700">
      <c r="A700" s="6" t="s">
        <v>418</v>
      </c>
      <c r="B700" s="7">
        <v>45610</v>
      </c>
      <c r="C700" s="9">
        <f>HYPERLINK("https://eping.wto.org/en/Search?viewData= G/SPS/N/EU/761/Add.1"," G/SPS/N/EU/761/Add.1")</f>
      </c>
      <c r="D700" s="8" t="s">
        <v>2839</v>
      </c>
      <c r="E700" s="8" t="s">
        <v>2840</v>
      </c>
      <c r="F700" s="8" t="s">
        <v>119</v>
      </c>
      <c r="G700" s="8" t="s">
        <v>22</v>
      </c>
      <c r="H700" s="8" t="s">
        <v>22</v>
      </c>
      <c r="I700" s="8" t="s">
        <v>120</v>
      </c>
      <c r="J700" s="8" t="s">
        <v>2841</v>
      </c>
      <c r="K700" s="6"/>
      <c r="L700" s="7" t="s">
        <v>22</v>
      </c>
      <c r="M700" s="6" t="s">
        <v>40</v>
      </c>
      <c r="N700" s="8" t="s">
        <v>2842</v>
      </c>
      <c r="O700" s="6">
        <f>HYPERLINK("https://docs.wto.org/imrd/directdoc.asp?DDFDocuments/t/G/SPS/NEU761A1.DOCX", "https://docs.wto.org/imrd/directdoc.asp?DDFDocuments/t/G/SPS/NEU761A1.DOCX")</f>
      </c>
      <c r="P700" s="6">
        <f>HYPERLINK("https://docs.wto.org/imrd/directdoc.asp?DDFDocuments/u/G/SPS/NEU761A1.DOCX", "https://docs.wto.org/imrd/directdoc.asp?DDFDocuments/u/G/SPS/NEU761A1.DOCX")</f>
      </c>
      <c r="Q700" s="6">
        <f>HYPERLINK("https://docs.wto.org/imrd/directdoc.asp?DDFDocuments/v/G/SPS/NEU761A1.DOCX", "https://docs.wto.org/imrd/directdoc.asp?DDFDocuments/v/G/SPS/NEU761A1.DOCX")</f>
      </c>
    </row>
    <row r="701">
      <c r="A701" s="6" t="s">
        <v>400</v>
      </c>
      <c r="B701" s="7">
        <v>45610</v>
      </c>
      <c r="C701" s="9">
        <f>HYPERLINK("https://eping.wto.org/en/Search?viewData= G/SPS/N/USA/3483"," G/SPS/N/USA/3483")</f>
      </c>
      <c r="D701" s="8" t="s">
        <v>2843</v>
      </c>
      <c r="E701" s="8" t="s">
        <v>2844</v>
      </c>
      <c r="F701" s="8" t="s">
        <v>2845</v>
      </c>
      <c r="G701" s="8" t="s">
        <v>2846</v>
      </c>
      <c r="H701" s="8" t="s">
        <v>22</v>
      </c>
      <c r="I701" s="8" t="s">
        <v>128</v>
      </c>
      <c r="J701" s="8" t="s">
        <v>1262</v>
      </c>
      <c r="K701" s="6" t="s">
        <v>2847</v>
      </c>
      <c r="L701" s="7" t="s">
        <v>22</v>
      </c>
      <c r="M701" s="6" t="s">
        <v>32</v>
      </c>
      <c r="N701" s="8" t="s">
        <v>2848</v>
      </c>
      <c r="O701" s="6">
        <f>HYPERLINK("https://docs.wto.org/imrd/directdoc.asp?DDFDocuments/t/G/SPS/NUSA3483.DOCX", "https://docs.wto.org/imrd/directdoc.asp?DDFDocuments/t/G/SPS/NUSA3483.DOCX")</f>
      </c>
      <c r="P701" s="6">
        <f>HYPERLINK("https://docs.wto.org/imrd/directdoc.asp?DDFDocuments/u/G/SPS/NUSA3483.DOCX", "https://docs.wto.org/imrd/directdoc.asp?DDFDocuments/u/G/SPS/NUSA3483.DOCX")</f>
      </c>
      <c r="Q701" s="6">
        <f>HYPERLINK("https://docs.wto.org/imrd/directdoc.asp?DDFDocuments/v/G/SPS/NUSA3483.DOCX", "https://docs.wto.org/imrd/directdoc.asp?DDFDocuments/v/G/SPS/NUSA3483.DOCX")</f>
      </c>
    </row>
    <row r="702">
      <c r="A702" s="6" t="s">
        <v>53</v>
      </c>
      <c r="B702" s="7">
        <v>45610</v>
      </c>
      <c r="C702" s="9">
        <f>HYPERLINK("https://eping.wto.org/en/Search?viewData= G/TBT/N/BDI/533, G/TBT/N/KEN/1706, G/TBT/N/RWA/1100, G/TBT/N/TZA/1222, G/TBT/N/UGA/2045"," G/TBT/N/BDI/533, G/TBT/N/KEN/1706, G/TBT/N/RWA/1100, G/TBT/N/TZA/1222, G/TBT/N/UGA/2045")</f>
      </c>
      <c r="D702" s="8" t="s">
        <v>2849</v>
      </c>
      <c r="E702" s="8" t="s">
        <v>2850</v>
      </c>
      <c r="F702" s="8" t="s">
        <v>2851</v>
      </c>
      <c r="G702" s="8" t="s">
        <v>2852</v>
      </c>
      <c r="H702" s="8" t="s">
        <v>2853</v>
      </c>
      <c r="I702" s="8" t="s">
        <v>2854</v>
      </c>
      <c r="J702" s="8" t="s">
        <v>22</v>
      </c>
      <c r="K702" s="6"/>
      <c r="L702" s="7">
        <v>45670</v>
      </c>
      <c r="M702" s="6" t="s">
        <v>32</v>
      </c>
      <c r="N702" s="8" t="s">
        <v>2855</v>
      </c>
      <c r="O702" s="6">
        <f>HYPERLINK("https://docs.wto.org/imrd/directdoc.asp?DDFDocuments/t/G/TBTN24/BDI533.DOCX", "https://docs.wto.org/imrd/directdoc.asp?DDFDocuments/t/G/TBTN24/BDI533.DOCX")</f>
      </c>
      <c r="P702" s="6">
        <f>HYPERLINK("https://docs.wto.org/imrd/directdoc.asp?DDFDocuments/u/G/TBTN24/BDI533.DOCX", "https://docs.wto.org/imrd/directdoc.asp?DDFDocuments/u/G/TBTN24/BDI533.DOCX")</f>
      </c>
      <c r="Q702" s="6">
        <f>HYPERLINK("https://docs.wto.org/imrd/directdoc.asp?DDFDocuments/v/G/TBTN24/BDI533.DOCX", "https://docs.wto.org/imrd/directdoc.asp?DDFDocuments/v/G/TBTN24/BDI533.DOCX")</f>
      </c>
    </row>
    <row r="703">
      <c r="A703" s="6" t="s">
        <v>49</v>
      </c>
      <c r="B703" s="7">
        <v>45610</v>
      </c>
      <c r="C703" s="9">
        <f>HYPERLINK("https://eping.wto.org/en/Search?viewData= G/TBT/N/BDI/533, G/TBT/N/KEN/1706, G/TBT/N/RWA/1100, G/TBT/N/TZA/1222, G/TBT/N/UGA/2045"," G/TBT/N/BDI/533, G/TBT/N/KEN/1706, G/TBT/N/RWA/1100, G/TBT/N/TZA/1222, G/TBT/N/UGA/2045")</f>
      </c>
      <c r="D703" s="8" t="s">
        <v>2849</v>
      </c>
      <c r="E703" s="8" t="s">
        <v>2850</v>
      </c>
      <c r="F703" s="8" t="s">
        <v>2851</v>
      </c>
      <c r="G703" s="8" t="s">
        <v>2852</v>
      </c>
      <c r="H703" s="8" t="s">
        <v>2853</v>
      </c>
      <c r="I703" s="8" t="s">
        <v>2854</v>
      </c>
      <c r="J703" s="8" t="s">
        <v>22</v>
      </c>
      <c r="K703" s="6"/>
      <c r="L703" s="7">
        <v>45670</v>
      </c>
      <c r="M703" s="6" t="s">
        <v>32</v>
      </c>
      <c r="N703" s="8" t="s">
        <v>2855</v>
      </c>
      <c r="O703" s="6">
        <f>HYPERLINK("https://docs.wto.org/imrd/directdoc.asp?DDFDocuments/t/G/TBTN24/BDI533.DOCX", "https://docs.wto.org/imrd/directdoc.asp?DDFDocuments/t/G/TBTN24/BDI533.DOCX")</f>
      </c>
      <c r="P703" s="6">
        <f>HYPERLINK("https://docs.wto.org/imrd/directdoc.asp?DDFDocuments/u/G/TBTN24/BDI533.DOCX", "https://docs.wto.org/imrd/directdoc.asp?DDFDocuments/u/G/TBTN24/BDI533.DOCX")</f>
      </c>
      <c r="Q703" s="6">
        <f>HYPERLINK("https://docs.wto.org/imrd/directdoc.asp?DDFDocuments/v/G/TBTN24/BDI533.DOCX", "https://docs.wto.org/imrd/directdoc.asp?DDFDocuments/v/G/TBTN24/BDI533.DOCX")</f>
      </c>
    </row>
    <row r="704">
      <c r="A704" s="6" t="s">
        <v>400</v>
      </c>
      <c r="B704" s="7">
        <v>45610</v>
      </c>
      <c r="C704" s="9">
        <f>HYPERLINK("https://eping.wto.org/en/Search?viewData= G/SPS/N/USA/3485"," G/SPS/N/USA/3485")</f>
      </c>
      <c r="D704" s="8" t="s">
        <v>2856</v>
      </c>
      <c r="E704" s="8" t="s">
        <v>2857</v>
      </c>
      <c r="F704" s="8" t="s">
        <v>2858</v>
      </c>
      <c r="G704" s="8" t="s">
        <v>22</v>
      </c>
      <c r="H704" s="8" t="s">
        <v>22</v>
      </c>
      <c r="I704" s="8" t="s">
        <v>348</v>
      </c>
      <c r="J704" s="8" t="s">
        <v>1350</v>
      </c>
      <c r="K704" s="6" t="s">
        <v>22</v>
      </c>
      <c r="L704" s="7">
        <v>45635</v>
      </c>
      <c r="M704" s="6" t="s">
        <v>32</v>
      </c>
      <c r="N704" s="8" t="s">
        <v>2859</v>
      </c>
      <c r="O704" s="6">
        <f>HYPERLINK("https://docs.wto.org/imrd/directdoc.asp?DDFDocuments/t/G/SPS/NUSA3485.DOCX", "https://docs.wto.org/imrd/directdoc.asp?DDFDocuments/t/G/SPS/NUSA3485.DOCX")</f>
      </c>
      <c r="P704" s="6">
        <f>HYPERLINK("https://docs.wto.org/imrd/directdoc.asp?DDFDocuments/u/G/SPS/NUSA3485.DOCX", "https://docs.wto.org/imrd/directdoc.asp?DDFDocuments/u/G/SPS/NUSA3485.DOCX")</f>
      </c>
      <c r="Q704" s="6">
        <f>HYPERLINK("https://docs.wto.org/imrd/directdoc.asp?DDFDocuments/v/G/SPS/NUSA3485.DOCX", "https://docs.wto.org/imrd/directdoc.asp?DDFDocuments/v/G/SPS/NUSA3485.DOCX")</f>
      </c>
    </row>
    <row r="705">
      <c r="A705" s="6" t="s">
        <v>17</v>
      </c>
      <c r="B705" s="7">
        <v>45610</v>
      </c>
      <c r="C705" s="9">
        <f>HYPERLINK("https://eping.wto.org/en/Search?viewData= G/TBT/N/KOR/1237"," G/TBT/N/KOR/1237")</f>
      </c>
      <c r="D705" s="8" t="s">
        <v>2860</v>
      </c>
      <c r="E705" s="8" t="s">
        <v>2861</v>
      </c>
      <c r="F705" s="8" t="s">
        <v>2862</v>
      </c>
      <c r="G705" s="8" t="s">
        <v>569</v>
      </c>
      <c r="H705" s="8" t="s">
        <v>2863</v>
      </c>
      <c r="I705" s="8" t="s">
        <v>138</v>
      </c>
      <c r="J705" s="8" t="s">
        <v>22</v>
      </c>
      <c r="K705" s="6"/>
      <c r="L705" s="7">
        <v>45670</v>
      </c>
      <c r="M705" s="6" t="s">
        <v>32</v>
      </c>
      <c r="N705" s="8" t="s">
        <v>2864</v>
      </c>
      <c r="O705" s="6">
        <f>HYPERLINK("https://docs.wto.org/imrd/directdoc.asp?DDFDocuments/t/G/TBTN24/KOR1237.DOCX", "https://docs.wto.org/imrd/directdoc.asp?DDFDocuments/t/G/TBTN24/KOR1237.DOCX")</f>
      </c>
      <c r="P705" s="6">
        <f>HYPERLINK("https://docs.wto.org/imrd/directdoc.asp?DDFDocuments/u/G/TBTN24/KOR1237.DOCX", "https://docs.wto.org/imrd/directdoc.asp?DDFDocuments/u/G/TBTN24/KOR1237.DOCX")</f>
      </c>
      <c r="Q705" s="6">
        <f>HYPERLINK("https://docs.wto.org/imrd/directdoc.asp?DDFDocuments/v/G/TBTN24/KOR1237.DOCX", "https://docs.wto.org/imrd/directdoc.asp?DDFDocuments/v/G/TBTN24/KOR1237.DOCX")</f>
      </c>
    </row>
    <row r="706">
      <c r="A706" s="6" t="s">
        <v>400</v>
      </c>
      <c r="B706" s="7">
        <v>45610</v>
      </c>
      <c r="C706" s="9">
        <f>HYPERLINK("https://eping.wto.org/en/Search?viewData= G/SPS/N/USA/3487"," G/SPS/N/USA/3487")</f>
      </c>
      <c r="D706" s="8" t="s">
        <v>2865</v>
      </c>
      <c r="E706" s="8" t="s">
        <v>2866</v>
      </c>
      <c r="F706" s="8" t="s">
        <v>2867</v>
      </c>
      <c r="G706" s="8" t="s">
        <v>22</v>
      </c>
      <c r="H706" s="8" t="s">
        <v>22</v>
      </c>
      <c r="I706" s="8" t="s">
        <v>120</v>
      </c>
      <c r="J706" s="8" t="s">
        <v>1020</v>
      </c>
      <c r="K706" s="6"/>
      <c r="L706" s="7" t="s">
        <v>22</v>
      </c>
      <c r="M706" s="6" t="s">
        <v>32</v>
      </c>
      <c r="N706" s="8" t="s">
        <v>2868</v>
      </c>
      <c r="O706" s="6">
        <f>HYPERLINK("https://docs.wto.org/imrd/directdoc.asp?DDFDocuments/t/G/SPS/NUSA3487.DOCX", "https://docs.wto.org/imrd/directdoc.asp?DDFDocuments/t/G/SPS/NUSA3487.DOCX")</f>
      </c>
      <c r="P706" s="6">
        <f>HYPERLINK("https://docs.wto.org/imrd/directdoc.asp?DDFDocuments/u/G/SPS/NUSA3487.DOCX", "https://docs.wto.org/imrd/directdoc.asp?DDFDocuments/u/G/SPS/NUSA3487.DOCX")</f>
      </c>
      <c r="Q706" s="6">
        <f>HYPERLINK("https://docs.wto.org/imrd/directdoc.asp?DDFDocuments/v/G/SPS/NUSA3487.DOCX", "https://docs.wto.org/imrd/directdoc.asp?DDFDocuments/v/G/SPS/NUSA3487.DOCX")</f>
      </c>
    </row>
    <row r="707">
      <c r="A707" s="6" t="s">
        <v>68</v>
      </c>
      <c r="B707" s="7">
        <v>45610</v>
      </c>
      <c r="C707" s="9">
        <f>HYPERLINK("https://eping.wto.org/en/Search?viewData= G/TBT/N/UGA/2047"," G/TBT/N/UGA/2047")</f>
      </c>
      <c r="D707" s="8" t="s">
        <v>2869</v>
      </c>
      <c r="E707" s="8" t="s">
        <v>2870</v>
      </c>
      <c r="F707" s="8" t="s">
        <v>2871</v>
      </c>
      <c r="G707" s="8" t="s">
        <v>2872</v>
      </c>
      <c r="H707" s="8" t="s">
        <v>2873</v>
      </c>
      <c r="I707" s="8" t="s">
        <v>2874</v>
      </c>
      <c r="J707" s="8" t="s">
        <v>22</v>
      </c>
      <c r="K707" s="6"/>
      <c r="L707" s="7">
        <v>45670</v>
      </c>
      <c r="M707" s="6" t="s">
        <v>32</v>
      </c>
      <c r="N707" s="8" t="s">
        <v>2875</v>
      </c>
      <c r="O707" s="6">
        <f>HYPERLINK("https://docs.wto.org/imrd/directdoc.asp?DDFDocuments/t/G/TBTN24/UGA2047.DOCX", "https://docs.wto.org/imrd/directdoc.asp?DDFDocuments/t/G/TBTN24/UGA2047.DOCX")</f>
      </c>
      <c r="P707" s="6">
        <f>HYPERLINK("https://docs.wto.org/imrd/directdoc.asp?DDFDocuments/u/G/TBTN24/UGA2047.DOCX", "https://docs.wto.org/imrd/directdoc.asp?DDFDocuments/u/G/TBTN24/UGA2047.DOCX")</f>
      </c>
      <c r="Q707" s="6">
        <f>HYPERLINK("https://docs.wto.org/imrd/directdoc.asp?DDFDocuments/v/G/TBTN24/UGA2047.DOCX", "https://docs.wto.org/imrd/directdoc.asp?DDFDocuments/v/G/TBTN24/UGA2047.DOCX")</f>
      </c>
    </row>
    <row r="708">
      <c r="A708" s="6" t="s">
        <v>60</v>
      </c>
      <c r="B708" s="7">
        <v>45610</v>
      </c>
      <c r="C708" s="9">
        <f>HYPERLINK("https://eping.wto.org/en/Search?viewData= G/TBT/N/BDI/533, G/TBT/N/KEN/1706, G/TBT/N/RWA/1100, G/TBT/N/TZA/1222, G/TBT/N/UGA/2045"," G/TBT/N/BDI/533, G/TBT/N/KEN/1706, G/TBT/N/RWA/1100, G/TBT/N/TZA/1222, G/TBT/N/UGA/2045")</f>
      </c>
      <c r="D708" s="8" t="s">
        <v>2849</v>
      </c>
      <c r="E708" s="8" t="s">
        <v>2850</v>
      </c>
      <c r="F708" s="8" t="s">
        <v>2851</v>
      </c>
      <c r="G708" s="8" t="s">
        <v>2852</v>
      </c>
      <c r="H708" s="8" t="s">
        <v>2853</v>
      </c>
      <c r="I708" s="8" t="s">
        <v>2854</v>
      </c>
      <c r="J708" s="8" t="s">
        <v>22</v>
      </c>
      <c r="K708" s="6"/>
      <c r="L708" s="7">
        <v>45670</v>
      </c>
      <c r="M708" s="6" t="s">
        <v>32</v>
      </c>
      <c r="N708" s="8" t="s">
        <v>2855</v>
      </c>
      <c r="O708" s="6">
        <f>HYPERLINK("https://docs.wto.org/imrd/directdoc.asp?DDFDocuments/t/G/TBTN24/BDI533.DOCX", "https://docs.wto.org/imrd/directdoc.asp?DDFDocuments/t/G/TBTN24/BDI533.DOCX")</f>
      </c>
      <c r="P708" s="6">
        <f>HYPERLINK("https://docs.wto.org/imrd/directdoc.asp?DDFDocuments/u/G/TBTN24/BDI533.DOCX", "https://docs.wto.org/imrd/directdoc.asp?DDFDocuments/u/G/TBTN24/BDI533.DOCX")</f>
      </c>
      <c r="Q708" s="6">
        <f>HYPERLINK("https://docs.wto.org/imrd/directdoc.asp?DDFDocuments/v/G/TBTN24/BDI533.DOCX", "https://docs.wto.org/imrd/directdoc.asp?DDFDocuments/v/G/TBTN24/BDI533.DOCX")</f>
      </c>
    </row>
    <row r="709">
      <c r="A709" s="6" t="s">
        <v>400</v>
      </c>
      <c r="B709" s="7">
        <v>45610</v>
      </c>
      <c r="C709" s="9">
        <f>HYPERLINK("https://eping.wto.org/en/Search?viewData= G/SPS/N/USA/3481"," G/SPS/N/USA/3481")</f>
      </c>
      <c r="D709" s="8" t="s">
        <v>2876</v>
      </c>
      <c r="E709" s="8" t="s">
        <v>2877</v>
      </c>
      <c r="F709" s="8" t="s">
        <v>711</v>
      </c>
      <c r="G709" s="8" t="s">
        <v>22</v>
      </c>
      <c r="H709" s="8" t="s">
        <v>22</v>
      </c>
      <c r="I709" s="8" t="s">
        <v>120</v>
      </c>
      <c r="J709" s="8" t="s">
        <v>1020</v>
      </c>
      <c r="K709" s="6" t="s">
        <v>22</v>
      </c>
      <c r="L709" s="7">
        <v>45628</v>
      </c>
      <c r="M709" s="6" t="s">
        <v>32</v>
      </c>
      <c r="N709" s="8" t="s">
        <v>2878</v>
      </c>
      <c r="O709" s="6">
        <f>HYPERLINK("https://docs.wto.org/imrd/directdoc.asp?DDFDocuments/t/G/SPS/NUSA3481.DOCX", "https://docs.wto.org/imrd/directdoc.asp?DDFDocuments/t/G/SPS/NUSA3481.DOCX")</f>
      </c>
      <c r="P709" s="6">
        <f>HYPERLINK("https://docs.wto.org/imrd/directdoc.asp?DDFDocuments/u/G/SPS/NUSA3481.DOCX", "https://docs.wto.org/imrd/directdoc.asp?DDFDocuments/u/G/SPS/NUSA3481.DOCX")</f>
      </c>
      <c r="Q709" s="6">
        <f>HYPERLINK("https://docs.wto.org/imrd/directdoc.asp?DDFDocuments/v/G/SPS/NUSA3481.DOCX", "https://docs.wto.org/imrd/directdoc.asp?DDFDocuments/v/G/SPS/NUSA3481.DOCX")</f>
      </c>
    </row>
    <row r="710">
      <c r="A710" s="6" t="s">
        <v>400</v>
      </c>
      <c r="B710" s="7">
        <v>45610</v>
      </c>
      <c r="C710" s="9">
        <f>HYPERLINK("https://eping.wto.org/en/Search?viewData= G/SPS/N/USA/3488"," G/SPS/N/USA/3488")</f>
      </c>
      <c r="D710" s="8" t="s">
        <v>2879</v>
      </c>
      <c r="E710" s="8" t="s">
        <v>2880</v>
      </c>
      <c r="F710" s="8" t="s">
        <v>711</v>
      </c>
      <c r="G710" s="8" t="s">
        <v>22</v>
      </c>
      <c r="H710" s="8" t="s">
        <v>22</v>
      </c>
      <c r="I710" s="8" t="s">
        <v>120</v>
      </c>
      <c r="J710" s="8" t="s">
        <v>121</v>
      </c>
      <c r="K710" s="6" t="s">
        <v>22</v>
      </c>
      <c r="L710" s="7">
        <v>45638</v>
      </c>
      <c r="M710" s="6" t="s">
        <v>32</v>
      </c>
      <c r="N710" s="8" t="s">
        <v>2881</v>
      </c>
      <c r="O710" s="6">
        <f>HYPERLINK("https://docs.wto.org/imrd/directdoc.asp?DDFDocuments/t/G/SPS/NUSA3488.DOCX", "https://docs.wto.org/imrd/directdoc.asp?DDFDocuments/t/G/SPS/NUSA3488.DOCX")</f>
      </c>
      <c r="P710" s="6">
        <f>HYPERLINK("https://docs.wto.org/imrd/directdoc.asp?DDFDocuments/u/G/SPS/NUSA3488.DOCX", "https://docs.wto.org/imrd/directdoc.asp?DDFDocuments/u/G/SPS/NUSA3488.DOCX")</f>
      </c>
      <c r="Q710" s="6">
        <f>HYPERLINK("https://docs.wto.org/imrd/directdoc.asp?DDFDocuments/v/G/SPS/NUSA3488.DOCX", "https://docs.wto.org/imrd/directdoc.asp?DDFDocuments/v/G/SPS/NUSA3488.DOCX")</f>
      </c>
    </row>
    <row r="711">
      <c r="A711" s="6" t="s">
        <v>400</v>
      </c>
      <c r="B711" s="7">
        <v>45610</v>
      </c>
      <c r="C711" s="9">
        <f>HYPERLINK("https://eping.wto.org/en/Search?viewData= G/SPS/N/USA/3328/Add.1"," G/SPS/N/USA/3328/Add.1")</f>
      </c>
      <c r="D711" s="8" t="s">
        <v>2882</v>
      </c>
      <c r="E711" s="8" t="s">
        <v>2883</v>
      </c>
      <c r="F711" s="8" t="s">
        <v>2884</v>
      </c>
      <c r="G711" s="8" t="s">
        <v>2885</v>
      </c>
      <c r="H711" s="8" t="s">
        <v>2886</v>
      </c>
      <c r="I711" s="8" t="s">
        <v>120</v>
      </c>
      <c r="J711" s="8" t="s">
        <v>2887</v>
      </c>
      <c r="K711" s="6"/>
      <c r="L711" s="7" t="s">
        <v>22</v>
      </c>
      <c r="M711" s="6" t="s">
        <v>40</v>
      </c>
      <c r="N711" s="8" t="s">
        <v>2888</v>
      </c>
      <c r="O711" s="6">
        <f>HYPERLINK("https://docs.wto.org/imrd/directdoc.asp?DDFDocuments/t/G/SPS/NUSA3328A1.DOCX", "https://docs.wto.org/imrd/directdoc.asp?DDFDocuments/t/G/SPS/NUSA3328A1.DOCX")</f>
      </c>
      <c r="P711" s="6">
        <f>HYPERLINK("https://docs.wto.org/imrd/directdoc.asp?DDFDocuments/u/G/SPS/NUSA3328A1.DOCX", "https://docs.wto.org/imrd/directdoc.asp?DDFDocuments/u/G/SPS/NUSA3328A1.DOCX")</f>
      </c>
      <c r="Q711" s="6">
        <f>HYPERLINK("https://docs.wto.org/imrd/directdoc.asp?DDFDocuments/v/G/SPS/NUSA3328A1.DOCX", "https://docs.wto.org/imrd/directdoc.asp?DDFDocuments/v/G/SPS/NUSA3328A1.DOCX")</f>
      </c>
    </row>
    <row r="712">
      <c r="A712" s="6" t="s">
        <v>847</v>
      </c>
      <c r="B712" s="7">
        <v>45610</v>
      </c>
      <c r="C712" s="9">
        <f>HYPERLINK("https://eping.wto.org/en/Search?viewData= G/TBT/N/UKR/316"," G/TBT/N/UKR/316")</f>
      </c>
      <c r="D712" s="8" t="s">
        <v>2889</v>
      </c>
      <c r="E712" s="8" t="s">
        <v>2890</v>
      </c>
      <c r="F712" s="8" t="s">
        <v>2891</v>
      </c>
      <c r="G712" s="8" t="s">
        <v>22</v>
      </c>
      <c r="H712" s="8" t="s">
        <v>1169</v>
      </c>
      <c r="I712" s="8" t="s">
        <v>2642</v>
      </c>
      <c r="J712" s="8" t="s">
        <v>139</v>
      </c>
      <c r="K712" s="6"/>
      <c r="L712" s="7">
        <v>45670</v>
      </c>
      <c r="M712" s="6" t="s">
        <v>32</v>
      </c>
      <c r="N712" s="8" t="s">
        <v>2892</v>
      </c>
      <c r="O712" s="6">
        <f>HYPERLINK("https://docs.wto.org/imrd/directdoc.asp?DDFDocuments/t/G/TBTN24/UKR316.DOCX", "https://docs.wto.org/imrd/directdoc.asp?DDFDocuments/t/G/TBTN24/UKR316.DOCX")</f>
      </c>
      <c r="P712" s="6">
        <f>HYPERLINK("https://docs.wto.org/imrd/directdoc.asp?DDFDocuments/u/G/TBTN24/UKR316.DOCX", "https://docs.wto.org/imrd/directdoc.asp?DDFDocuments/u/G/TBTN24/UKR316.DOCX")</f>
      </c>
      <c r="Q712" s="6">
        <f>HYPERLINK("https://docs.wto.org/imrd/directdoc.asp?DDFDocuments/v/G/TBTN24/UKR316.DOCX", "https://docs.wto.org/imrd/directdoc.asp?DDFDocuments/v/G/TBTN24/UKR316.DOCX")</f>
      </c>
    </row>
    <row r="713">
      <c r="A713" s="6" t="s">
        <v>17</v>
      </c>
      <c r="B713" s="7">
        <v>45610</v>
      </c>
      <c r="C713" s="9">
        <f>HYPERLINK("https://eping.wto.org/en/Search?viewData= G/TBT/N/KOR/1238"," G/TBT/N/KOR/1238")</f>
      </c>
      <c r="D713" s="8" t="s">
        <v>2893</v>
      </c>
      <c r="E713" s="8" t="s">
        <v>2894</v>
      </c>
      <c r="F713" s="8" t="s">
        <v>2895</v>
      </c>
      <c r="G713" s="8" t="s">
        <v>22</v>
      </c>
      <c r="H713" s="8" t="s">
        <v>1725</v>
      </c>
      <c r="I713" s="8" t="s">
        <v>39</v>
      </c>
      <c r="J713" s="8" t="s">
        <v>22</v>
      </c>
      <c r="K713" s="6"/>
      <c r="L713" s="7">
        <v>45670</v>
      </c>
      <c r="M713" s="6" t="s">
        <v>32</v>
      </c>
      <c r="N713" s="8" t="s">
        <v>2896</v>
      </c>
      <c r="O713" s="6">
        <f>HYPERLINK("https://docs.wto.org/imrd/directdoc.asp?DDFDocuments/t/G/TBTN24/KOR1238.DOCX", "https://docs.wto.org/imrd/directdoc.asp?DDFDocuments/t/G/TBTN24/KOR1238.DOCX")</f>
      </c>
      <c r="P713" s="6">
        <f>HYPERLINK("https://docs.wto.org/imrd/directdoc.asp?DDFDocuments/u/G/TBTN24/KOR1238.DOCX", "https://docs.wto.org/imrd/directdoc.asp?DDFDocuments/u/G/TBTN24/KOR1238.DOCX")</f>
      </c>
      <c r="Q713" s="6">
        <f>HYPERLINK("https://docs.wto.org/imrd/directdoc.asp?DDFDocuments/v/G/TBTN24/KOR1238.DOCX", "https://docs.wto.org/imrd/directdoc.asp?DDFDocuments/v/G/TBTN24/KOR1238.DOCX")</f>
      </c>
    </row>
    <row r="714">
      <c r="A714" s="6" t="s">
        <v>400</v>
      </c>
      <c r="B714" s="7">
        <v>45610</v>
      </c>
      <c r="C714" s="9">
        <f>HYPERLINK("https://eping.wto.org/en/Search?viewData= G/TBT/N/USA/2093/Add.1"," G/TBT/N/USA/2093/Add.1")</f>
      </c>
      <c r="D714" s="8" t="s">
        <v>2897</v>
      </c>
      <c r="E714" s="8" t="s">
        <v>2898</v>
      </c>
      <c r="F714" s="8" t="s">
        <v>2899</v>
      </c>
      <c r="G714" s="8" t="s">
        <v>2900</v>
      </c>
      <c r="H714" s="8" t="s">
        <v>2901</v>
      </c>
      <c r="I714" s="8" t="s">
        <v>845</v>
      </c>
      <c r="J714" s="8" t="s">
        <v>22</v>
      </c>
      <c r="K714" s="6"/>
      <c r="L714" s="7" t="s">
        <v>22</v>
      </c>
      <c r="M714" s="6" t="s">
        <v>40</v>
      </c>
      <c r="N714" s="8" t="s">
        <v>2902</v>
      </c>
      <c r="O714" s="6">
        <f>HYPERLINK("https://docs.wto.org/imrd/directdoc.asp?DDFDocuments/t/G/TBTN24/USA2093A1.DOCX", "https://docs.wto.org/imrd/directdoc.asp?DDFDocuments/t/G/TBTN24/USA2093A1.DOCX")</f>
      </c>
      <c r="P714" s="6">
        <f>HYPERLINK("https://docs.wto.org/imrd/directdoc.asp?DDFDocuments/u/G/TBTN24/USA2093A1.DOCX", "https://docs.wto.org/imrd/directdoc.asp?DDFDocuments/u/G/TBTN24/USA2093A1.DOCX")</f>
      </c>
      <c r="Q714" s="6">
        <f>HYPERLINK("https://docs.wto.org/imrd/directdoc.asp?DDFDocuments/v/G/TBTN24/USA2093A1.DOCX", "https://docs.wto.org/imrd/directdoc.asp?DDFDocuments/v/G/TBTN24/USA2093A1.DOCX")</f>
      </c>
    </row>
    <row r="715">
      <c r="A715" s="6" t="s">
        <v>68</v>
      </c>
      <c r="B715" s="7">
        <v>45610</v>
      </c>
      <c r="C715" s="9">
        <f>HYPERLINK("https://eping.wto.org/en/Search?viewData= G/TBT/N/BDI/533, G/TBT/N/KEN/1706, G/TBT/N/RWA/1100, G/TBT/N/TZA/1222, G/TBT/N/UGA/2045"," G/TBT/N/BDI/533, G/TBT/N/KEN/1706, G/TBT/N/RWA/1100, G/TBT/N/TZA/1222, G/TBT/N/UGA/2045")</f>
      </c>
      <c r="D715" s="8" t="s">
        <v>2849</v>
      </c>
      <c r="E715" s="8" t="s">
        <v>2850</v>
      </c>
      <c r="F715" s="8" t="s">
        <v>2851</v>
      </c>
      <c r="G715" s="8" t="s">
        <v>2852</v>
      </c>
      <c r="H715" s="8" t="s">
        <v>2853</v>
      </c>
      <c r="I715" s="8" t="s">
        <v>2854</v>
      </c>
      <c r="J715" s="8" t="s">
        <v>22</v>
      </c>
      <c r="K715" s="6"/>
      <c r="L715" s="7">
        <v>45670</v>
      </c>
      <c r="M715" s="6" t="s">
        <v>32</v>
      </c>
      <c r="N715" s="8" t="s">
        <v>2855</v>
      </c>
      <c r="O715" s="6">
        <f>HYPERLINK("https://docs.wto.org/imrd/directdoc.asp?DDFDocuments/t/G/TBTN24/BDI533.DOCX", "https://docs.wto.org/imrd/directdoc.asp?DDFDocuments/t/G/TBTN24/BDI533.DOCX")</f>
      </c>
      <c r="P715" s="6">
        <f>HYPERLINK("https://docs.wto.org/imrd/directdoc.asp?DDFDocuments/u/G/TBTN24/BDI533.DOCX", "https://docs.wto.org/imrd/directdoc.asp?DDFDocuments/u/G/TBTN24/BDI533.DOCX")</f>
      </c>
      <c r="Q715" s="6">
        <f>HYPERLINK("https://docs.wto.org/imrd/directdoc.asp?DDFDocuments/v/G/TBTN24/BDI533.DOCX", "https://docs.wto.org/imrd/directdoc.asp?DDFDocuments/v/G/TBTN24/BDI533.DOCX")</f>
      </c>
    </row>
    <row r="716">
      <c r="A716" s="6" t="s">
        <v>400</v>
      </c>
      <c r="B716" s="7">
        <v>45610</v>
      </c>
      <c r="C716" s="9">
        <f>HYPERLINK("https://eping.wto.org/en/Search?viewData= G/TBT/N/USA/2158"," G/TBT/N/USA/2158")</f>
      </c>
      <c r="D716" s="8" t="s">
        <v>2903</v>
      </c>
      <c r="E716" s="8" t="s">
        <v>2904</v>
      </c>
      <c r="F716" s="8" t="s">
        <v>2905</v>
      </c>
      <c r="G716" s="8" t="s">
        <v>22</v>
      </c>
      <c r="H716" s="8" t="s">
        <v>816</v>
      </c>
      <c r="I716" s="8" t="s">
        <v>716</v>
      </c>
      <c r="J716" s="8" t="s">
        <v>22</v>
      </c>
      <c r="K716" s="6"/>
      <c r="L716" s="7">
        <v>45670</v>
      </c>
      <c r="M716" s="6" t="s">
        <v>32</v>
      </c>
      <c r="N716" s="8" t="s">
        <v>2906</v>
      </c>
      <c r="O716" s="6">
        <f>HYPERLINK("https://docs.wto.org/imrd/directdoc.asp?DDFDocuments/t/G/TBTN24/USA2158.DOCX", "https://docs.wto.org/imrd/directdoc.asp?DDFDocuments/t/G/TBTN24/USA2158.DOCX")</f>
      </c>
      <c r="P716" s="6">
        <f>HYPERLINK("https://docs.wto.org/imrd/directdoc.asp?DDFDocuments/u/G/TBTN24/USA2158.DOCX", "https://docs.wto.org/imrd/directdoc.asp?DDFDocuments/u/G/TBTN24/USA2158.DOCX")</f>
      </c>
      <c r="Q716" s="6">
        <f>HYPERLINK("https://docs.wto.org/imrd/directdoc.asp?DDFDocuments/v/G/TBTN24/USA2158.DOCX", "https://docs.wto.org/imrd/directdoc.asp?DDFDocuments/v/G/TBTN24/USA2158.DOCX")</f>
      </c>
    </row>
    <row r="717">
      <c r="A717" s="6" t="s">
        <v>400</v>
      </c>
      <c r="B717" s="7">
        <v>45610</v>
      </c>
      <c r="C717" s="9">
        <f>HYPERLINK("https://eping.wto.org/en/Search?viewData= G/SPS/N/USA/3480"," G/SPS/N/USA/3480")</f>
      </c>
      <c r="D717" s="8" t="s">
        <v>2907</v>
      </c>
      <c r="E717" s="8" t="s">
        <v>2908</v>
      </c>
      <c r="F717" s="8" t="s">
        <v>711</v>
      </c>
      <c r="G717" s="8" t="s">
        <v>22</v>
      </c>
      <c r="H717" s="8" t="s">
        <v>22</v>
      </c>
      <c r="I717" s="8" t="s">
        <v>120</v>
      </c>
      <c r="J717" s="8" t="s">
        <v>121</v>
      </c>
      <c r="K717" s="6"/>
      <c r="L717" s="7" t="s">
        <v>22</v>
      </c>
      <c r="M717" s="6" t="s">
        <v>32</v>
      </c>
      <c r="N717" s="8" t="s">
        <v>2909</v>
      </c>
      <c r="O717" s="6">
        <f>HYPERLINK("https://docs.wto.org/imrd/directdoc.asp?DDFDocuments/t/G/SPS/NUSA3480.DOCX", "https://docs.wto.org/imrd/directdoc.asp?DDFDocuments/t/G/SPS/NUSA3480.DOCX")</f>
      </c>
      <c r="P717" s="6">
        <f>HYPERLINK("https://docs.wto.org/imrd/directdoc.asp?DDFDocuments/u/G/SPS/NUSA3480.DOCX", "https://docs.wto.org/imrd/directdoc.asp?DDFDocuments/u/G/SPS/NUSA3480.DOCX")</f>
      </c>
      <c r="Q717" s="6">
        <f>HYPERLINK("https://docs.wto.org/imrd/directdoc.asp?DDFDocuments/v/G/SPS/NUSA3480.DOCX", "https://docs.wto.org/imrd/directdoc.asp?DDFDocuments/v/G/SPS/NUSA3480.DOCX")</f>
      </c>
    </row>
    <row r="718">
      <c r="A718" s="6" t="s">
        <v>26</v>
      </c>
      <c r="B718" s="7">
        <v>45610</v>
      </c>
      <c r="C718" s="9">
        <f>HYPERLINK("https://eping.wto.org/en/Search?viewData= G/TBT/N/BDI/533, G/TBT/N/KEN/1706, G/TBT/N/RWA/1100, G/TBT/N/TZA/1222, G/TBT/N/UGA/2045"," G/TBT/N/BDI/533, G/TBT/N/KEN/1706, G/TBT/N/RWA/1100, G/TBT/N/TZA/1222, G/TBT/N/UGA/2045")</f>
      </c>
      <c r="D718" s="8" t="s">
        <v>2849</v>
      </c>
      <c r="E718" s="8" t="s">
        <v>2850</v>
      </c>
      <c r="F718" s="8" t="s">
        <v>2851</v>
      </c>
      <c r="G718" s="8" t="s">
        <v>2852</v>
      </c>
      <c r="H718" s="8" t="s">
        <v>2853</v>
      </c>
      <c r="I718" s="8" t="s">
        <v>2854</v>
      </c>
      <c r="J718" s="8" t="s">
        <v>22</v>
      </c>
      <c r="K718" s="6"/>
      <c r="L718" s="7">
        <v>45670</v>
      </c>
      <c r="M718" s="6" t="s">
        <v>32</v>
      </c>
      <c r="N718" s="8" t="s">
        <v>2855</v>
      </c>
      <c r="O718" s="6">
        <f>HYPERLINK("https://docs.wto.org/imrd/directdoc.asp?DDFDocuments/t/G/TBTN24/BDI533.DOCX", "https://docs.wto.org/imrd/directdoc.asp?DDFDocuments/t/G/TBTN24/BDI533.DOCX")</f>
      </c>
      <c r="P718" s="6">
        <f>HYPERLINK("https://docs.wto.org/imrd/directdoc.asp?DDFDocuments/u/G/TBTN24/BDI533.DOCX", "https://docs.wto.org/imrd/directdoc.asp?DDFDocuments/u/G/TBTN24/BDI533.DOCX")</f>
      </c>
      <c r="Q718" s="6">
        <f>HYPERLINK("https://docs.wto.org/imrd/directdoc.asp?DDFDocuments/v/G/TBTN24/BDI533.DOCX", "https://docs.wto.org/imrd/directdoc.asp?DDFDocuments/v/G/TBTN24/BDI533.DOCX")</f>
      </c>
    </row>
    <row r="719">
      <c r="A719" s="6" t="s">
        <v>400</v>
      </c>
      <c r="B719" s="7">
        <v>45610</v>
      </c>
      <c r="C719" s="9">
        <f>HYPERLINK("https://eping.wto.org/en/Search?viewData= G/SPS/N/USA/3482"," G/SPS/N/USA/3482")</f>
      </c>
      <c r="D719" s="8" t="s">
        <v>2910</v>
      </c>
      <c r="E719" s="8" t="s">
        <v>2911</v>
      </c>
      <c r="F719" s="8" t="s">
        <v>2912</v>
      </c>
      <c r="G719" s="8" t="s">
        <v>22</v>
      </c>
      <c r="H719" s="8" t="s">
        <v>22</v>
      </c>
      <c r="I719" s="8" t="s">
        <v>120</v>
      </c>
      <c r="J719" s="8" t="s">
        <v>121</v>
      </c>
      <c r="K719" s="6"/>
      <c r="L719" s="7" t="s">
        <v>22</v>
      </c>
      <c r="M719" s="6" t="s">
        <v>32</v>
      </c>
      <c r="N719" s="8" t="s">
        <v>2913</v>
      </c>
      <c r="O719" s="6">
        <f>HYPERLINK("https://docs.wto.org/imrd/directdoc.asp?DDFDocuments/t/G/SPS/NUSA3482.DOCX", "https://docs.wto.org/imrd/directdoc.asp?DDFDocuments/t/G/SPS/NUSA3482.DOCX")</f>
      </c>
      <c r="P719" s="6">
        <f>HYPERLINK("https://docs.wto.org/imrd/directdoc.asp?DDFDocuments/u/G/SPS/NUSA3482.DOCX", "https://docs.wto.org/imrd/directdoc.asp?DDFDocuments/u/G/SPS/NUSA3482.DOCX")</f>
      </c>
      <c r="Q719" s="6">
        <f>HYPERLINK("https://docs.wto.org/imrd/directdoc.asp?DDFDocuments/v/G/SPS/NUSA3482.DOCX", "https://docs.wto.org/imrd/directdoc.asp?DDFDocuments/v/G/SPS/NUSA3482.DOCX")</f>
      </c>
    </row>
    <row r="720">
      <c r="A720" s="6" t="s">
        <v>472</v>
      </c>
      <c r="B720" s="7">
        <v>45610</v>
      </c>
      <c r="C720" s="9">
        <f>HYPERLINK("https://eping.wto.org/en/Search?viewData= G/TBT/N/JPN/842"," G/TBT/N/JPN/842")</f>
      </c>
      <c r="D720" s="8" t="s">
        <v>2914</v>
      </c>
      <c r="E720" s="8" t="s">
        <v>2915</v>
      </c>
      <c r="F720" s="8" t="s">
        <v>2916</v>
      </c>
      <c r="G720" s="8" t="s">
        <v>22</v>
      </c>
      <c r="H720" s="8" t="s">
        <v>556</v>
      </c>
      <c r="I720" s="8" t="s">
        <v>1929</v>
      </c>
      <c r="J720" s="8" t="s">
        <v>1498</v>
      </c>
      <c r="K720" s="6"/>
      <c r="L720" s="7" t="s">
        <v>22</v>
      </c>
      <c r="M720" s="6" t="s">
        <v>32</v>
      </c>
      <c r="N720" s="8" t="s">
        <v>2917</v>
      </c>
      <c r="O720" s="6">
        <f>HYPERLINK("https://docs.wto.org/imrd/directdoc.asp?DDFDocuments/t/G/TBTN24/JPN842.DOCX", "https://docs.wto.org/imrd/directdoc.asp?DDFDocuments/t/G/TBTN24/JPN842.DOCX")</f>
      </c>
      <c r="P720" s="6">
        <f>HYPERLINK("https://docs.wto.org/imrd/directdoc.asp?DDFDocuments/u/G/TBTN24/JPN842.DOCX", "https://docs.wto.org/imrd/directdoc.asp?DDFDocuments/u/G/TBTN24/JPN842.DOCX")</f>
      </c>
      <c r="Q720" s="6">
        <f>HYPERLINK("https://docs.wto.org/imrd/directdoc.asp?DDFDocuments/v/G/TBTN24/JPN842.DOCX", "https://docs.wto.org/imrd/directdoc.asp?DDFDocuments/v/G/TBTN24/JPN842.DOCX")</f>
      </c>
    </row>
    <row r="721">
      <c r="A721" s="6" t="s">
        <v>400</v>
      </c>
      <c r="B721" s="7">
        <v>45610</v>
      </c>
      <c r="C721" s="9">
        <f>HYPERLINK("https://eping.wto.org/en/Search?viewData= G/SPS/N/USA/3486"," G/SPS/N/USA/3486")</f>
      </c>
      <c r="D721" s="8" t="s">
        <v>2918</v>
      </c>
      <c r="E721" s="8" t="s">
        <v>2919</v>
      </c>
      <c r="F721" s="8" t="s">
        <v>2920</v>
      </c>
      <c r="G721" s="8" t="s">
        <v>1952</v>
      </c>
      <c r="H721" s="8" t="s">
        <v>22</v>
      </c>
      <c r="I721" s="8" t="s">
        <v>348</v>
      </c>
      <c r="J721" s="8" t="s">
        <v>2921</v>
      </c>
      <c r="K721" s="6" t="s">
        <v>22</v>
      </c>
      <c r="L721" s="7" t="s">
        <v>22</v>
      </c>
      <c r="M721" s="6" t="s">
        <v>32</v>
      </c>
      <c r="N721" s="8" t="s">
        <v>2922</v>
      </c>
      <c r="O721" s="6">
        <f>HYPERLINK("https://docs.wto.org/imrd/directdoc.asp?DDFDocuments/t/G/SPS/NUSA3486.DOCX", "https://docs.wto.org/imrd/directdoc.asp?DDFDocuments/t/G/SPS/NUSA3486.DOCX")</f>
      </c>
      <c r="P721" s="6">
        <f>HYPERLINK("https://docs.wto.org/imrd/directdoc.asp?DDFDocuments/u/G/SPS/NUSA3486.DOCX", "https://docs.wto.org/imrd/directdoc.asp?DDFDocuments/u/G/SPS/NUSA3486.DOCX")</f>
      </c>
      <c r="Q721" s="6">
        <f>HYPERLINK("https://docs.wto.org/imrd/directdoc.asp?DDFDocuments/v/G/SPS/NUSA3486.DOCX", "https://docs.wto.org/imrd/directdoc.asp?DDFDocuments/v/G/SPS/NUSA3486.DOCX")</f>
      </c>
    </row>
    <row r="722">
      <c r="A722" s="6" t="s">
        <v>400</v>
      </c>
      <c r="B722" s="7">
        <v>45610</v>
      </c>
      <c r="C722" s="9">
        <f>HYPERLINK("https://eping.wto.org/en/Search?viewData= G/SPS/N/USA/3489"," G/SPS/N/USA/3489")</f>
      </c>
      <c r="D722" s="8" t="s">
        <v>2923</v>
      </c>
      <c r="E722" s="8" t="s">
        <v>2924</v>
      </c>
      <c r="F722" s="8" t="s">
        <v>711</v>
      </c>
      <c r="G722" s="8" t="s">
        <v>22</v>
      </c>
      <c r="H722" s="8" t="s">
        <v>22</v>
      </c>
      <c r="I722" s="8" t="s">
        <v>120</v>
      </c>
      <c r="J722" s="8" t="s">
        <v>121</v>
      </c>
      <c r="K722" s="6"/>
      <c r="L722" s="7">
        <v>45663</v>
      </c>
      <c r="M722" s="6" t="s">
        <v>32</v>
      </c>
      <c r="N722" s="8" t="s">
        <v>2925</v>
      </c>
      <c r="O722" s="6">
        <f>HYPERLINK("https://docs.wto.org/imrd/directdoc.asp?DDFDocuments/t/G/SPS/NUSA3489.DOCX", "https://docs.wto.org/imrd/directdoc.asp?DDFDocuments/t/G/SPS/NUSA3489.DOCX")</f>
      </c>
      <c r="P722" s="6">
        <f>HYPERLINK("https://docs.wto.org/imrd/directdoc.asp?DDFDocuments/u/G/SPS/NUSA3489.DOCX", "https://docs.wto.org/imrd/directdoc.asp?DDFDocuments/u/G/SPS/NUSA3489.DOCX")</f>
      </c>
      <c r="Q722" s="6">
        <f>HYPERLINK("https://docs.wto.org/imrd/directdoc.asp?DDFDocuments/v/G/SPS/NUSA3489.DOCX", "https://docs.wto.org/imrd/directdoc.asp?DDFDocuments/v/G/SPS/NUSA3489.DOCX")</f>
      </c>
    </row>
    <row r="723">
      <c r="A723" s="6" t="s">
        <v>513</v>
      </c>
      <c r="B723" s="7">
        <v>45610</v>
      </c>
      <c r="C723" s="9">
        <f>HYPERLINK("https://eping.wto.org/en/Search?viewData= G/SPS/N/IND/320"," G/SPS/N/IND/320")</f>
      </c>
      <c r="D723" s="8" t="s">
        <v>2926</v>
      </c>
      <c r="E723" s="8" t="s">
        <v>2927</v>
      </c>
      <c r="F723" s="8" t="s">
        <v>2928</v>
      </c>
      <c r="G723" s="8" t="s">
        <v>532</v>
      </c>
      <c r="H723" s="8" t="s">
        <v>22</v>
      </c>
      <c r="I723" s="8" t="s">
        <v>518</v>
      </c>
      <c r="J723" s="8" t="s">
        <v>2929</v>
      </c>
      <c r="K723" s="6" t="s">
        <v>132</v>
      </c>
      <c r="L723" s="7">
        <v>45670</v>
      </c>
      <c r="M723" s="6" t="s">
        <v>32</v>
      </c>
      <c r="N723" s="8" t="s">
        <v>2930</v>
      </c>
      <c r="O723" s="6">
        <f>HYPERLINK("https://docs.wto.org/imrd/directdoc.asp?DDFDocuments/t/G/SPS/NIND320.DOCX", "https://docs.wto.org/imrd/directdoc.asp?DDFDocuments/t/G/SPS/NIND320.DOCX")</f>
      </c>
      <c r="P723" s="6">
        <f>HYPERLINK("https://docs.wto.org/imrd/directdoc.asp?DDFDocuments/u/G/SPS/NIND320.DOCX", "https://docs.wto.org/imrd/directdoc.asp?DDFDocuments/u/G/SPS/NIND320.DOCX")</f>
      </c>
      <c r="Q723" s="6">
        <f>HYPERLINK("https://docs.wto.org/imrd/directdoc.asp?DDFDocuments/v/G/SPS/NIND320.DOCX", "https://docs.wto.org/imrd/directdoc.asp?DDFDocuments/v/G/SPS/NIND320.DOCX")</f>
      </c>
    </row>
    <row r="724">
      <c r="A724" s="6" t="s">
        <v>68</v>
      </c>
      <c r="B724" s="7">
        <v>45610</v>
      </c>
      <c r="C724" s="9">
        <f>HYPERLINK("https://eping.wto.org/en/Search?viewData= G/TBT/N/UGA/2046"," G/TBT/N/UGA/2046")</f>
      </c>
      <c r="D724" s="8" t="s">
        <v>2931</v>
      </c>
      <c r="E724" s="8" t="s">
        <v>2932</v>
      </c>
      <c r="F724" s="8" t="s">
        <v>2933</v>
      </c>
      <c r="G724" s="8" t="s">
        <v>2934</v>
      </c>
      <c r="H724" s="8" t="s">
        <v>959</v>
      </c>
      <c r="I724" s="8" t="s">
        <v>2874</v>
      </c>
      <c r="J724" s="8" t="s">
        <v>22</v>
      </c>
      <c r="K724" s="6"/>
      <c r="L724" s="7">
        <v>45670</v>
      </c>
      <c r="M724" s="6" t="s">
        <v>32</v>
      </c>
      <c r="N724" s="8" t="s">
        <v>2935</v>
      </c>
      <c r="O724" s="6">
        <f>HYPERLINK("https://docs.wto.org/imrd/directdoc.asp?DDFDocuments/t/G/TBTN24/UGA2046.DOCX", "https://docs.wto.org/imrd/directdoc.asp?DDFDocuments/t/G/TBTN24/UGA2046.DOCX")</f>
      </c>
      <c r="P724" s="6">
        <f>HYPERLINK("https://docs.wto.org/imrd/directdoc.asp?DDFDocuments/u/G/TBTN24/UGA2046.DOCX", "https://docs.wto.org/imrd/directdoc.asp?DDFDocuments/u/G/TBTN24/UGA2046.DOCX")</f>
      </c>
      <c r="Q724" s="6">
        <f>HYPERLINK("https://docs.wto.org/imrd/directdoc.asp?DDFDocuments/v/G/TBTN24/UGA2046.DOCX", "https://docs.wto.org/imrd/directdoc.asp?DDFDocuments/v/G/TBTN24/UGA2046.DOCX")</f>
      </c>
    </row>
    <row r="725">
      <c r="A725" s="6" t="s">
        <v>333</v>
      </c>
      <c r="B725" s="7">
        <v>45610</v>
      </c>
      <c r="C725" s="9">
        <f>HYPERLINK("https://eping.wto.org/en/Search?viewData= G/SPS/N/AUS/603/Corr.1"," G/SPS/N/AUS/603/Corr.1")</f>
      </c>
      <c r="D725" s="8" t="s">
        <v>2936</v>
      </c>
      <c r="E725" s="8" t="s">
        <v>2937</v>
      </c>
      <c r="F725" s="8" t="s">
        <v>1285</v>
      </c>
      <c r="G725" s="8" t="s">
        <v>22</v>
      </c>
      <c r="H725" s="8" t="s">
        <v>22</v>
      </c>
      <c r="I725" s="8" t="s">
        <v>120</v>
      </c>
      <c r="J725" s="8" t="s">
        <v>2938</v>
      </c>
      <c r="K725" s="6"/>
      <c r="L725" s="7" t="s">
        <v>22</v>
      </c>
      <c r="M725" s="6" t="s">
        <v>248</v>
      </c>
      <c r="N725" s="6"/>
      <c r="O725" s="6">
        <f>HYPERLINK("https://docs.wto.org/imrd/directdoc.asp?DDFDocuments/t/G/SPS/NAUS603C1.DOCX", "https://docs.wto.org/imrd/directdoc.asp?DDFDocuments/t/G/SPS/NAUS603C1.DOCX")</f>
      </c>
      <c r="P725" s="6">
        <f>HYPERLINK("https://docs.wto.org/imrd/directdoc.asp?DDFDocuments/u/G/SPS/NAUS603C1.DOCX", "https://docs.wto.org/imrd/directdoc.asp?DDFDocuments/u/G/SPS/NAUS603C1.DOCX")</f>
      </c>
      <c r="Q725" s="6">
        <f>HYPERLINK("https://docs.wto.org/imrd/directdoc.asp?DDFDocuments/v/G/SPS/NAUS603C1.DOCX", "https://docs.wto.org/imrd/directdoc.asp?DDFDocuments/v/G/SPS/NAUS603C1.DOCX")</f>
      </c>
    </row>
    <row r="726">
      <c r="A726" s="6" t="s">
        <v>400</v>
      </c>
      <c r="B726" s="7">
        <v>45610</v>
      </c>
      <c r="C726" s="9">
        <f>HYPERLINK("https://eping.wto.org/en/Search?viewData= G/SPS/N/USA/2862/Add.4"," G/SPS/N/USA/2862/Add.4")</f>
      </c>
      <c r="D726" s="8" t="s">
        <v>2939</v>
      </c>
      <c r="E726" s="8" t="s">
        <v>2940</v>
      </c>
      <c r="F726" s="8" t="s">
        <v>2941</v>
      </c>
      <c r="G726" s="8" t="s">
        <v>2942</v>
      </c>
      <c r="H726" s="8" t="s">
        <v>2886</v>
      </c>
      <c r="I726" s="8" t="s">
        <v>120</v>
      </c>
      <c r="J726" s="8" t="s">
        <v>2943</v>
      </c>
      <c r="K726" s="6"/>
      <c r="L726" s="7" t="s">
        <v>22</v>
      </c>
      <c r="M726" s="6" t="s">
        <v>40</v>
      </c>
      <c r="N726" s="8" t="s">
        <v>2944</v>
      </c>
      <c r="O726" s="6">
        <f>HYPERLINK("https://docs.wto.org/imrd/directdoc.asp?DDFDocuments/t/G/SPS/NUSA2862A4.DOCX", "https://docs.wto.org/imrd/directdoc.asp?DDFDocuments/t/G/SPS/NUSA2862A4.DOCX")</f>
      </c>
      <c r="P726" s="6">
        <f>HYPERLINK("https://docs.wto.org/imrd/directdoc.asp?DDFDocuments/u/G/SPS/NUSA2862A4.DOCX", "https://docs.wto.org/imrd/directdoc.asp?DDFDocuments/u/G/SPS/NUSA2862A4.DOCX")</f>
      </c>
      <c r="Q726" s="6">
        <f>HYPERLINK("https://docs.wto.org/imrd/directdoc.asp?DDFDocuments/v/G/SPS/NUSA2862A4.DOCX", "https://docs.wto.org/imrd/directdoc.asp?DDFDocuments/v/G/SPS/NUSA2862A4.DOCX")</f>
      </c>
    </row>
    <row r="727">
      <c r="A727" s="6" t="s">
        <v>472</v>
      </c>
      <c r="B727" s="7">
        <v>45610</v>
      </c>
      <c r="C727" s="9">
        <f>HYPERLINK("https://eping.wto.org/en/Search?viewData= G/SPS/N/JPN/1316"," G/SPS/N/JPN/1316")</f>
      </c>
      <c r="D727" s="8" t="s">
        <v>2945</v>
      </c>
      <c r="E727" s="8" t="s">
        <v>2946</v>
      </c>
      <c r="F727" s="8" t="s">
        <v>2947</v>
      </c>
      <c r="G727" s="8" t="s">
        <v>22</v>
      </c>
      <c r="H727" s="8" t="s">
        <v>22</v>
      </c>
      <c r="I727" s="8" t="s">
        <v>175</v>
      </c>
      <c r="J727" s="8" t="s">
        <v>2948</v>
      </c>
      <c r="K727" s="6" t="s">
        <v>22</v>
      </c>
      <c r="L727" s="7" t="s">
        <v>22</v>
      </c>
      <c r="M727" s="6" t="s">
        <v>32</v>
      </c>
      <c r="N727" s="8" t="s">
        <v>2949</v>
      </c>
      <c r="O727" s="6">
        <f>HYPERLINK("https://docs.wto.org/imrd/directdoc.asp?DDFDocuments/t/G/SPS/NJPN1316.DOCX", "https://docs.wto.org/imrd/directdoc.asp?DDFDocuments/t/G/SPS/NJPN1316.DOCX")</f>
      </c>
      <c r="P727" s="6">
        <f>HYPERLINK("https://docs.wto.org/imrd/directdoc.asp?DDFDocuments/u/G/SPS/NJPN1316.DOCX", "https://docs.wto.org/imrd/directdoc.asp?DDFDocuments/u/G/SPS/NJPN1316.DOCX")</f>
      </c>
      <c r="Q727" s="6">
        <f>HYPERLINK("https://docs.wto.org/imrd/directdoc.asp?DDFDocuments/v/G/SPS/NJPN1316.DOCX", "https://docs.wto.org/imrd/directdoc.asp?DDFDocuments/v/G/SPS/NJPN1316.DOCX")</f>
      </c>
    </row>
    <row r="728">
      <c r="A728" s="6" t="s">
        <v>104</v>
      </c>
      <c r="B728" s="7">
        <v>45609</v>
      </c>
      <c r="C728" s="9">
        <f>HYPERLINK("https://eping.wto.org/en/Search?viewData= G/TBT/N/CHN/1946"," G/TBT/N/CHN/1946")</f>
      </c>
      <c r="D728" s="8" t="s">
        <v>2950</v>
      </c>
      <c r="E728" s="8" t="s">
        <v>2951</v>
      </c>
      <c r="F728" s="8" t="s">
        <v>2952</v>
      </c>
      <c r="G728" s="8" t="s">
        <v>2953</v>
      </c>
      <c r="H728" s="8" t="s">
        <v>2954</v>
      </c>
      <c r="I728" s="8" t="s">
        <v>39</v>
      </c>
      <c r="J728" s="8" t="s">
        <v>22</v>
      </c>
      <c r="K728" s="6"/>
      <c r="L728" s="7">
        <v>45669</v>
      </c>
      <c r="M728" s="6" t="s">
        <v>32</v>
      </c>
      <c r="N728" s="8" t="s">
        <v>2955</v>
      </c>
      <c r="O728" s="6">
        <f>HYPERLINK("https://docs.wto.org/imrd/directdoc.asp?DDFDocuments/t/G/TBTN24/CHN1946.DOCX", "https://docs.wto.org/imrd/directdoc.asp?DDFDocuments/t/G/TBTN24/CHN1946.DOCX")</f>
      </c>
      <c r="P728" s="6">
        <f>HYPERLINK("https://docs.wto.org/imrd/directdoc.asp?DDFDocuments/u/G/TBTN24/CHN1946.DOCX", "https://docs.wto.org/imrd/directdoc.asp?DDFDocuments/u/G/TBTN24/CHN1946.DOCX")</f>
      </c>
      <c r="Q728" s="6">
        <f>HYPERLINK("https://docs.wto.org/imrd/directdoc.asp?DDFDocuments/v/G/TBTN24/CHN1946.DOCX", "https://docs.wto.org/imrd/directdoc.asp?DDFDocuments/v/G/TBTN24/CHN1946.DOCX")</f>
      </c>
    </row>
    <row r="729">
      <c r="A729" s="6" t="s">
        <v>847</v>
      </c>
      <c r="B729" s="7">
        <v>45609</v>
      </c>
      <c r="C729" s="9">
        <f>HYPERLINK("https://eping.wto.org/en/Search?viewData= G/TBT/N/UKR/313"," G/TBT/N/UKR/313")</f>
      </c>
      <c r="D729" s="8" t="s">
        <v>2956</v>
      </c>
      <c r="E729" s="8" t="s">
        <v>2957</v>
      </c>
      <c r="F729" s="8" t="s">
        <v>758</v>
      </c>
      <c r="G729" s="8" t="s">
        <v>22</v>
      </c>
      <c r="H729" s="8" t="s">
        <v>22</v>
      </c>
      <c r="I729" s="8" t="s">
        <v>2958</v>
      </c>
      <c r="J729" s="8" t="s">
        <v>139</v>
      </c>
      <c r="K729" s="6"/>
      <c r="L729" s="7">
        <v>45669</v>
      </c>
      <c r="M729" s="6" t="s">
        <v>32</v>
      </c>
      <c r="N729" s="8" t="s">
        <v>2959</v>
      </c>
      <c r="O729" s="6">
        <f>HYPERLINK("https://docs.wto.org/imrd/directdoc.asp?DDFDocuments/t/G/TBTN24/UKR313.DOCX", "https://docs.wto.org/imrd/directdoc.asp?DDFDocuments/t/G/TBTN24/UKR313.DOCX")</f>
      </c>
      <c r="P729" s="6">
        <f>HYPERLINK("https://docs.wto.org/imrd/directdoc.asp?DDFDocuments/u/G/TBTN24/UKR313.DOCX", "https://docs.wto.org/imrd/directdoc.asp?DDFDocuments/u/G/TBTN24/UKR313.DOCX")</f>
      </c>
      <c r="Q729" s="6">
        <f>HYPERLINK("https://docs.wto.org/imrd/directdoc.asp?DDFDocuments/v/G/TBTN24/UKR313.DOCX", "https://docs.wto.org/imrd/directdoc.asp?DDFDocuments/v/G/TBTN24/UKR313.DOCX")</f>
      </c>
    </row>
    <row r="730">
      <c r="A730" s="6" t="s">
        <v>374</v>
      </c>
      <c r="B730" s="7">
        <v>45609</v>
      </c>
      <c r="C730" s="9">
        <f>HYPERLINK("https://eping.wto.org/en/Search?viewData= G/SPS/N/CRI/281/Add.1"," G/SPS/N/CRI/281/Add.1")</f>
      </c>
      <c r="D730" s="8" t="s">
        <v>2960</v>
      </c>
      <c r="E730" s="8" t="s">
        <v>2960</v>
      </c>
      <c r="F730" s="8" t="s">
        <v>2961</v>
      </c>
      <c r="G730" s="8" t="s">
        <v>2135</v>
      </c>
      <c r="H730" s="8" t="s">
        <v>22</v>
      </c>
      <c r="I730" s="8" t="s">
        <v>390</v>
      </c>
      <c r="J730" s="8" t="s">
        <v>690</v>
      </c>
      <c r="K730" s="6"/>
      <c r="L730" s="7" t="s">
        <v>22</v>
      </c>
      <c r="M730" s="6" t="s">
        <v>40</v>
      </c>
      <c r="N730" s="8" t="s">
        <v>2962</v>
      </c>
      <c r="O730" s="6">
        <f>HYPERLINK("https://docs.wto.org/imrd/directdoc.asp?DDFDocuments/t/G/SPS/NCRI281A1.DOCX", "https://docs.wto.org/imrd/directdoc.asp?DDFDocuments/t/G/SPS/NCRI281A1.DOCX")</f>
      </c>
      <c r="P730" s="6">
        <f>HYPERLINK("https://docs.wto.org/imrd/directdoc.asp?DDFDocuments/u/G/SPS/NCRI281A1.DOCX", "https://docs.wto.org/imrd/directdoc.asp?DDFDocuments/u/G/SPS/NCRI281A1.DOCX")</f>
      </c>
      <c r="Q730" s="6">
        <f>HYPERLINK("https://docs.wto.org/imrd/directdoc.asp?DDFDocuments/v/G/SPS/NCRI281A1.DOCX", "https://docs.wto.org/imrd/directdoc.asp?DDFDocuments/v/G/SPS/NCRI281A1.DOCX")</f>
      </c>
    </row>
    <row r="731">
      <c r="A731" s="6" t="s">
        <v>847</v>
      </c>
      <c r="B731" s="7">
        <v>45609</v>
      </c>
      <c r="C731" s="9">
        <f>HYPERLINK("https://eping.wto.org/en/Search?viewData= G/TBT/N/UKR/315"," G/TBT/N/UKR/315")</f>
      </c>
      <c r="D731" s="8" t="s">
        <v>2963</v>
      </c>
      <c r="E731" s="8" t="s">
        <v>2964</v>
      </c>
      <c r="F731" s="8" t="s">
        <v>758</v>
      </c>
      <c r="G731" s="8" t="s">
        <v>721</v>
      </c>
      <c r="H731" s="8" t="s">
        <v>1169</v>
      </c>
      <c r="I731" s="8" t="s">
        <v>1741</v>
      </c>
      <c r="J731" s="8" t="s">
        <v>139</v>
      </c>
      <c r="K731" s="6"/>
      <c r="L731" s="7">
        <v>45669</v>
      </c>
      <c r="M731" s="6" t="s">
        <v>32</v>
      </c>
      <c r="N731" s="8" t="s">
        <v>2965</v>
      </c>
      <c r="O731" s="6">
        <f>HYPERLINK("https://docs.wto.org/imrd/directdoc.asp?DDFDocuments/t/G/TBTN24/UKR315.DOCX", "https://docs.wto.org/imrd/directdoc.asp?DDFDocuments/t/G/TBTN24/UKR315.DOCX")</f>
      </c>
      <c r="P731" s="6">
        <f>HYPERLINK("https://docs.wto.org/imrd/directdoc.asp?DDFDocuments/u/G/TBTN24/UKR315.DOCX", "https://docs.wto.org/imrd/directdoc.asp?DDFDocuments/u/G/TBTN24/UKR315.DOCX")</f>
      </c>
      <c r="Q731" s="6">
        <f>HYPERLINK("https://docs.wto.org/imrd/directdoc.asp?DDFDocuments/v/G/TBTN24/UKR315.DOCX", "https://docs.wto.org/imrd/directdoc.asp?DDFDocuments/v/G/TBTN24/UKR315.DOCX")</f>
      </c>
    </row>
    <row r="732">
      <c r="A732" s="6" t="s">
        <v>847</v>
      </c>
      <c r="B732" s="7">
        <v>45609</v>
      </c>
      <c r="C732" s="9">
        <f>HYPERLINK("https://eping.wto.org/en/Search?viewData= G/TBT/N/UKR/314"," G/TBT/N/UKR/314")</f>
      </c>
      <c r="D732" s="8" t="s">
        <v>2966</v>
      </c>
      <c r="E732" s="8" t="s">
        <v>2967</v>
      </c>
      <c r="F732" s="8" t="s">
        <v>2968</v>
      </c>
      <c r="G732" s="8" t="s">
        <v>22</v>
      </c>
      <c r="H732" s="8" t="s">
        <v>2969</v>
      </c>
      <c r="I732" s="8" t="s">
        <v>760</v>
      </c>
      <c r="J732" s="8" t="s">
        <v>58</v>
      </c>
      <c r="K732" s="6"/>
      <c r="L732" s="7" t="s">
        <v>22</v>
      </c>
      <c r="M732" s="6" t="s">
        <v>32</v>
      </c>
      <c r="N732" s="8" t="s">
        <v>2970</v>
      </c>
      <c r="O732" s="6">
        <f>HYPERLINK("https://docs.wto.org/imrd/directdoc.asp?DDFDocuments/t/G/TBTN24/UKR314.DOCX", "https://docs.wto.org/imrd/directdoc.asp?DDFDocuments/t/G/TBTN24/UKR314.DOCX")</f>
      </c>
      <c r="P732" s="6">
        <f>HYPERLINK("https://docs.wto.org/imrd/directdoc.asp?DDFDocuments/u/G/TBTN24/UKR314.DOCX", "https://docs.wto.org/imrd/directdoc.asp?DDFDocuments/u/G/TBTN24/UKR314.DOCX")</f>
      </c>
      <c r="Q732" s="6">
        <f>HYPERLINK("https://docs.wto.org/imrd/directdoc.asp?DDFDocuments/v/G/TBTN24/UKR314.DOCX", "https://docs.wto.org/imrd/directdoc.asp?DDFDocuments/v/G/TBTN24/UKR314.DOCX")</f>
      </c>
    </row>
    <row r="733">
      <c r="A733" s="6" t="s">
        <v>17</v>
      </c>
      <c r="B733" s="7">
        <v>45609</v>
      </c>
      <c r="C733" s="9">
        <f>HYPERLINK("https://eping.wto.org/en/Search?viewData= G/SPS/N/KOR/812"," G/SPS/N/KOR/812")</f>
      </c>
      <c r="D733" s="8" t="s">
        <v>2971</v>
      </c>
      <c r="E733" s="8" t="s">
        <v>2972</v>
      </c>
      <c r="F733" s="8" t="s">
        <v>2973</v>
      </c>
      <c r="G733" s="8" t="s">
        <v>2974</v>
      </c>
      <c r="H733" s="8" t="s">
        <v>22</v>
      </c>
      <c r="I733" s="8" t="s">
        <v>128</v>
      </c>
      <c r="J733" s="8" t="s">
        <v>2975</v>
      </c>
      <c r="K733" s="6" t="s">
        <v>2976</v>
      </c>
      <c r="L733" s="7" t="s">
        <v>22</v>
      </c>
      <c r="M733" s="6" t="s">
        <v>331</v>
      </c>
      <c r="N733" s="8" t="s">
        <v>2977</v>
      </c>
      <c r="O733" s="6">
        <f>HYPERLINK("https://docs.wto.org/imrd/directdoc.asp?DDFDocuments/t/G/SPS/NKOR812.DOCX", "https://docs.wto.org/imrd/directdoc.asp?DDFDocuments/t/G/SPS/NKOR812.DOCX")</f>
      </c>
      <c r="P733" s="6">
        <f>HYPERLINK("https://docs.wto.org/imrd/directdoc.asp?DDFDocuments/u/G/SPS/NKOR812.DOCX", "https://docs.wto.org/imrd/directdoc.asp?DDFDocuments/u/G/SPS/NKOR812.DOCX")</f>
      </c>
      <c r="Q733" s="6">
        <f>HYPERLINK("https://docs.wto.org/imrd/directdoc.asp?DDFDocuments/v/G/SPS/NKOR812.DOCX", "https://docs.wto.org/imrd/directdoc.asp?DDFDocuments/v/G/SPS/NKOR812.DOCX")</f>
      </c>
    </row>
    <row r="734">
      <c r="A734" s="6" t="s">
        <v>104</v>
      </c>
      <c r="B734" s="7">
        <v>45609</v>
      </c>
      <c r="C734" s="9">
        <f>HYPERLINK("https://eping.wto.org/en/Search?viewData= G/TBT/N/CHN/1944"," G/TBT/N/CHN/1944")</f>
      </c>
      <c r="D734" s="8" t="s">
        <v>2978</v>
      </c>
      <c r="E734" s="8" t="s">
        <v>2979</v>
      </c>
      <c r="F734" s="8" t="s">
        <v>2980</v>
      </c>
      <c r="G734" s="8" t="s">
        <v>2981</v>
      </c>
      <c r="H734" s="8" t="s">
        <v>2982</v>
      </c>
      <c r="I734" s="8" t="s">
        <v>39</v>
      </c>
      <c r="J734" s="8" t="s">
        <v>22</v>
      </c>
      <c r="K734" s="6"/>
      <c r="L734" s="7">
        <v>45669</v>
      </c>
      <c r="M734" s="6" t="s">
        <v>32</v>
      </c>
      <c r="N734" s="8" t="s">
        <v>2983</v>
      </c>
      <c r="O734" s="6">
        <f>HYPERLINK("https://docs.wto.org/imrd/directdoc.asp?DDFDocuments/t/G/TBTN24/CHN1944.DOCX", "https://docs.wto.org/imrd/directdoc.asp?DDFDocuments/t/G/TBTN24/CHN1944.DOCX")</f>
      </c>
      <c r="P734" s="6">
        <f>HYPERLINK("https://docs.wto.org/imrd/directdoc.asp?DDFDocuments/u/G/TBTN24/CHN1944.DOCX", "https://docs.wto.org/imrd/directdoc.asp?DDFDocuments/u/G/TBTN24/CHN1944.DOCX")</f>
      </c>
      <c r="Q734" s="6">
        <f>HYPERLINK("https://docs.wto.org/imrd/directdoc.asp?DDFDocuments/v/G/TBTN24/CHN1944.DOCX", "https://docs.wto.org/imrd/directdoc.asp?DDFDocuments/v/G/TBTN24/CHN1944.DOCX")</f>
      </c>
    </row>
    <row r="735">
      <c r="A735" s="6" t="s">
        <v>299</v>
      </c>
      <c r="B735" s="7">
        <v>45609</v>
      </c>
      <c r="C735" s="9">
        <f>HYPERLINK("https://eping.wto.org/en/Search?viewData= G/TBT/N/NZL/141"," G/TBT/N/NZL/141")</f>
      </c>
      <c r="D735" s="8" t="s">
        <v>2984</v>
      </c>
      <c r="E735" s="8" t="s">
        <v>2985</v>
      </c>
      <c r="F735" s="8" t="s">
        <v>2986</v>
      </c>
      <c r="G735" s="8" t="s">
        <v>136</v>
      </c>
      <c r="H735" s="8" t="s">
        <v>137</v>
      </c>
      <c r="I735" s="8" t="s">
        <v>292</v>
      </c>
      <c r="J735" s="8" t="s">
        <v>139</v>
      </c>
      <c r="K735" s="6"/>
      <c r="L735" s="7">
        <v>45700</v>
      </c>
      <c r="M735" s="6" t="s">
        <v>32</v>
      </c>
      <c r="N735" s="8" t="s">
        <v>2987</v>
      </c>
      <c r="O735" s="6">
        <f>HYPERLINK("https://docs.wto.org/imrd/directdoc.asp?DDFDocuments/t/G/TBTN24/NZL141.DOCX", "https://docs.wto.org/imrd/directdoc.asp?DDFDocuments/t/G/TBTN24/NZL141.DOCX")</f>
      </c>
      <c r="P735" s="6">
        <f>HYPERLINK("https://docs.wto.org/imrd/directdoc.asp?DDFDocuments/u/G/TBTN24/NZL141.DOCX", "https://docs.wto.org/imrd/directdoc.asp?DDFDocuments/u/G/TBTN24/NZL141.DOCX")</f>
      </c>
      <c r="Q735" s="6">
        <f>HYPERLINK("https://docs.wto.org/imrd/directdoc.asp?DDFDocuments/v/G/TBTN24/NZL141.DOCX", "https://docs.wto.org/imrd/directdoc.asp?DDFDocuments/v/G/TBTN24/NZL141.DOCX")</f>
      </c>
    </row>
    <row r="736">
      <c r="A736" s="6" t="s">
        <v>53</v>
      </c>
      <c r="B736" s="7">
        <v>45609</v>
      </c>
      <c r="C736" s="9">
        <f>HYPERLINK("https://eping.wto.org/en/Search?viewData= G/SPS/N/KEN/312"," G/SPS/N/KEN/312")</f>
      </c>
      <c r="D736" s="8" t="s">
        <v>2988</v>
      </c>
      <c r="E736" s="8" t="s">
        <v>2989</v>
      </c>
      <c r="F736" s="8" t="s">
        <v>2990</v>
      </c>
      <c r="G736" s="8" t="s">
        <v>2991</v>
      </c>
      <c r="H736" s="8" t="s">
        <v>115</v>
      </c>
      <c r="I736" s="8" t="s">
        <v>120</v>
      </c>
      <c r="J736" s="8" t="s">
        <v>416</v>
      </c>
      <c r="K736" s="6" t="s">
        <v>22</v>
      </c>
      <c r="L736" s="7">
        <v>45669</v>
      </c>
      <c r="M736" s="6" t="s">
        <v>32</v>
      </c>
      <c r="N736" s="8" t="s">
        <v>2992</v>
      </c>
      <c r="O736" s="6">
        <f>HYPERLINK("https://docs.wto.org/imrd/directdoc.asp?DDFDocuments/t/G/SPS/NKEN312.DOCX", "https://docs.wto.org/imrd/directdoc.asp?DDFDocuments/t/G/SPS/NKEN312.DOCX")</f>
      </c>
      <c r="P736" s="6">
        <f>HYPERLINK("https://docs.wto.org/imrd/directdoc.asp?DDFDocuments/u/G/SPS/NKEN312.DOCX", "https://docs.wto.org/imrd/directdoc.asp?DDFDocuments/u/G/SPS/NKEN312.DOCX")</f>
      </c>
      <c r="Q736" s="6">
        <f>HYPERLINK("https://docs.wto.org/imrd/directdoc.asp?DDFDocuments/v/G/SPS/NKEN312.DOCX", "https://docs.wto.org/imrd/directdoc.asp?DDFDocuments/v/G/SPS/NKEN312.DOCX")</f>
      </c>
    </row>
    <row r="737">
      <c r="A737" s="6" t="s">
        <v>132</v>
      </c>
      <c r="B737" s="7">
        <v>45609</v>
      </c>
      <c r="C737" s="9">
        <f>HYPERLINK("https://eping.wto.org/en/Search?viewData= G/SPS/N/CAN/1541/Add.1"," G/SPS/N/CAN/1541/Add.1")</f>
      </c>
      <c r="D737" s="8" t="s">
        <v>2993</v>
      </c>
      <c r="E737" s="8" t="s">
        <v>2994</v>
      </c>
      <c r="F737" s="8" t="s">
        <v>2995</v>
      </c>
      <c r="G737" s="8" t="s">
        <v>2996</v>
      </c>
      <c r="H737" s="8" t="s">
        <v>1559</v>
      </c>
      <c r="I737" s="8" t="s">
        <v>120</v>
      </c>
      <c r="J737" s="8" t="s">
        <v>2997</v>
      </c>
      <c r="K737" s="6"/>
      <c r="L737" s="7" t="s">
        <v>22</v>
      </c>
      <c r="M737" s="6" t="s">
        <v>40</v>
      </c>
      <c r="N737" s="6"/>
      <c r="O737" s="6">
        <f>HYPERLINK("https://docs.wto.org/imrd/directdoc.asp?DDFDocuments/t/G/SPS/NCAN1541A1.DOCX", "https://docs.wto.org/imrd/directdoc.asp?DDFDocuments/t/G/SPS/NCAN1541A1.DOCX")</f>
      </c>
      <c r="P737" s="6">
        <f>HYPERLINK("https://docs.wto.org/imrd/directdoc.asp?DDFDocuments/u/G/SPS/NCAN1541A1.DOCX", "https://docs.wto.org/imrd/directdoc.asp?DDFDocuments/u/G/SPS/NCAN1541A1.DOCX")</f>
      </c>
      <c r="Q737" s="6">
        <f>HYPERLINK("https://docs.wto.org/imrd/directdoc.asp?DDFDocuments/v/G/SPS/NCAN1541A1.DOCX", "https://docs.wto.org/imrd/directdoc.asp?DDFDocuments/v/G/SPS/NCAN1541A1.DOCX")</f>
      </c>
    </row>
    <row r="738">
      <c r="A738" s="6" t="s">
        <v>374</v>
      </c>
      <c r="B738" s="7">
        <v>45609</v>
      </c>
      <c r="C738" s="9">
        <f>HYPERLINK("https://eping.wto.org/en/Search?viewData= G/SPS/N/CRI/282/Add.1"," G/SPS/N/CRI/282/Add.1")</f>
      </c>
      <c r="D738" s="8" t="s">
        <v>2998</v>
      </c>
      <c r="E738" s="8" t="s">
        <v>2998</v>
      </c>
      <c r="F738" s="8" t="s">
        <v>2999</v>
      </c>
      <c r="G738" s="8" t="s">
        <v>686</v>
      </c>
      <c r="H738" s="8" t="s">
        <v>22</v>
      </c>
      <c r="I738" s="8" t="s">
        <v>390</v>
      </c>
      <c r="J738" s="8" t="s">
        <v>726</v>
      </c>
      <c r="K738" s="6"/>
      <c r="L738" s="7" t="s">
        <v>22</v>
      </c>
      <c r="M738" s="6" t="s">
        <v>40</v>
      </c>
      <c r="N738" s="8" t="s">
        <v>3000</v>
      </c>
      <c r="O738" s="6">
        <f>HYPERLINK("https://docs.wto.org/imrd/directdoc.asp?DDFDocuments/t/G/SPS/NCRI282A1.DOCX", "https://docs.wto.org/imrd/directdoc.asp?DDFDocuments/t/G/SPS/NCRI282A1.DOCX")</f>
      </c>
      <c r="P738" s="6">
        <f>HYPERLINK("https://docs.wto.org/imrd/directdoc.asp?DDFDocuments/u/G/SPS/NCRI282A1.DOCX", "https://docs.wto.org/imrd/directdoc.asp?DDFDocuments/u/G/SPS/NCRI282A1.DOCX")</f>
      </c>
      <c r="Q738" s="6">
        <f>HYPERLINK("https://docs.wto.org/imrd/directdoc.asp?DDFDocuments/v/G/SPS/NCRI282A1.DOCX", "https://docs.wto.org/imrd/directdoc.asp?DDFDocuments/v/G/SPS/NCRI282A1.DOCX")</f>
      </c>
    </row>
    <row r="739">
      <c r="A739" s="6" t="s">
        <v>374</v>
      </c>
      <c r="B739" s="7">
        <v>45609</v>
      </c>
      <c r="C739" s="9">
        <f>HYPERLINK("https://eping.wto.org/en/Search?viewData= G/SPS/N/CRI/283/Add.1"," G/SPS/N/CRI/283/Add.1")</f>
      </c>
      <c r="D739" s="8" t="s">
        <v>3001</v>
      </c>
      <c r="E739" s="8" t="s">
        <v>3001</v>
      </c>
      <c r="F739" s="8" t="s">
        <v>2999</v>
      </c>
      <c r="G739" s="8" t="s">
        <v>686</v>
      </c>
      <c r="H739" s="8" t="s">
        <v>22</v>
      </c>
      <c r="I739" s="8" t="s">
        <v>390</v>
      </c>
      <c r="J739" s="8" t="s">
        <v>726</v>
      </c>
      <c r="K739" s="6"/>
      <c r="L739" s="7" t="s">
        <v>22</v>
      </c>
      <c r="M739" s="6" t="s">
        <v>40</v>
      </c>
      <c r="N739" s="8" t="s">
        <v>3002</v>
      </c>
      <c r="O739" s="6">
        <f>HYPERLINK("https://docs.wto.org/imrd/directdoc.asp?DDFDocuments/t/G/SPS/NCRI283A1.DOCX", "https://docs.wto.org/imrd/directdoc.asp?DDFDocuments/t/G/SPS/NCRI283A1.DOCX")</f>
      </c>
      <c r="P739" s="6">
        <f>HYPERLINK("https://docs.wto.org/imrd/directdoc.asp?DDFDocuments/u/G/SPS/NCRI283A1.DOCX", "https://docs.wto.org/imrd/directdoc.asp?DDFDocuments/u/G/SPS/NCRI283A1.DOCX")</f>
      </c>
      <c r="Q739" s="6">
        <f>HYPERLINK("https://docs.wto.org/imrd/directdoc.asp?DDFDocuments/v/G/SPS/NCRI283A1.DOCX", "https://docs.wto.org/imrd/directdoc.asp?DDFDocuments/v/G/SPS/NCRI283A1.DOCX")</f>
      </c>
    </row>
    <row r="740">
      <c r="A740" s="6" t="s">
        <v>513</v>
      </c>
      <c r="B740" s="7">
        <v>45609</v>
      </c>
      <c r="C740" s="9">
        <f>HYPERLINK("https://eping.wto.org/en/Search?viewData= G/TBT/N/IND/353"," G/TBT/N/IND/353")</f>
      </c>
      <c r="D740" s="8" t="s">
        <v>3003</v>
      </c>
      <c r="E740" s="8" t="s">
        <v>3004</v>
      </c>
      <c r="F740" s="8" t="s">
        <v>3005</v>
      </c>
      <c r="G740" s="8" t="s">
        <v>22</v>
      </c>
      <c r="H740" s="8" t="s">
        <v>3006</v>
      </c>
      <c r="I740" s="8" t="s">
        <v>511</v>
      </c>
      <c r="J740" s="8" t="s">
        <v>22</v>
      </c>
      <c r="K740" s="6"/>
      <c r="L740" s="7">
        <v>45669</v>
      </c>
      <c r="M740" s="6" t="s">
        <v>32</v>
      </c>
      <c r="N740" s="8" t="s">
        <v>3007</v>
      </c>
      <c r="O740" s="6">
        <f>HYPERLINK("https://docs.wto.org/imrd/directdoc.asp?DDFDocuments/t/G/TBTN24/IND353.DOCX", "https://docs.wto.org/imrd/directdoc.asp?DDFDocuments/t/G/TBTN24/IND353.DOCX")</f>
      </c>
      <c r="P740" s="6">
        <f>HYPERLINK("https://docs.wto.org/imrd/directdoc.asp?DDFDocuments/u/G/TBTN24/IND353.DOCX", "https://docs.wto.org/imrd/directdoc.asp?DDFDocuments/u/G/TBTN24/IND353.DOCX")</f>
      </c>
      <c r="Q740" s="6">
        <f>HYPERLINK("https://docs.wto.org/imrd/directdoc.asp?DDFDocuments/v/G/TBTN24/IND353.DOCX", "https://docs.wto.org/imrd/directdoc.asp?DDFDocuments/v/G/TBTN24/IND353.DOCX")</f>
      </c>
    </row>
    <row r="741">
      <c r="A741" s="6" t="s">
        <v>53</v>
      </c>
      <c r="B741" s="7">
        <v>45609</v>
      </c>
      <c r="C741" s="9">
        <f>HYPERLINK("https://eping.wto.org/en/Search?viewData= G/SPS/N/KEN/311"," G/SPS/N/KEN/311")</f>
      </c>
      <c r="D741" s="8" t="s">
        <v>3008</v>
      </c>
      <c r="E741" s="8" t="s">
        <v>3009</v>
      </c>
      <c r="F741" s="8" t="s">
        <v>3010</v>
      </c>
      <c r="G741" s="8" t="s">
        <v>503</v>
      </c>
      <c r="H741" s="8" t="s">
        <v>115</v>
      </c>
      <c r="I741" s="8" t="s">
        <v>120</v>
      </c>
      <c r="J741" s="8" t="s">
        <v>255</v>
      </c>
      <c r="K741" s="6" t="s">
        <v>22</v>
      </c>
      <c r="L741" s="7">
        <v>45669</v>
      </c>
      <c r="M741" s="6" t="s">
        <v>32</v>
      </c>
      <c r="N741" s="8" t="s">
        <v>3011</v>
      </c>
      <c r="O741" s="6">
        <f>HYPERLINK("https://docs.wto.org/imrd/directdoc.asp?DDFDocuments/t/G/SPS/NKEN311.DOCX", "https://docs.wto.org/imrd/directdoc.asp?DDFDocuments/t/G/SPS/NKEN311.DOCX")</f>
      </c>
      <c r="P741" s="6">
        <f>HYPERLINK("https://docs.wto.org/imrd/directdoc.asp?DDFDocuments/u/G/SPS/NKEN311.DOCX", "https://docs.wto.org/imrd/directdoc.asp?DDFDocuments/u/G/SPS/NKEN311.DOCX")</f>
      </c>
      <c r="Q741" s="6">
        <f>HYPERLINK("https://docs.wto.org/imrd/directdoc.asp?DDFDocuments/v/G/SPS/NKEN311.DOCX", "https://docs.wto.org/imrd/directdoc.asp?DDFDocuments/v/G/SPS/NKEN311.DOCX")</f>
      </c>
    </row>
    <row r="742">
      <c r="A742" s="6" t="s">
        <v>360</v>
      </c>
      <c r="B742" s="7">
        <v>45609</v>
      </c>
      <c r="C742" s="9">
        <f>HYPERLINK("https://eping.wto.org/en/Search?viewData= G/SPS/N/CHL/809"," G/SPS/N/CHL/809")</f>
      </c>
      <c r="D742" s="8" t="s">
        <v>3012</v>
      </c>
      <c r="E742" s="8" t="s">
        <v>3013</v>
      </c>
      <c r="F742" s="8" t="s">
        <v>3014</v>
      </c>
      <c r="G742" s="8" t="s">
        <v>396</v>
      </c>
      <c r="H742" s="8" t="s">
        <v>22</v>
      </c>
      <c r="I742" s="8" t="s">
        <v>128</v>
      </c>
      <c r="J742" s="8" t="s">
        <v>1262</v>
      </c>
      <c r="K742" s="6" t="s">
        <v>152</v>
      </c>
      <c r="L742" s="7" t="s">
        <v>22</v>
      </c>
      <c r="M742" s="6" t="s">
        <v>32</v>
      </c>
      <c r="N742" s="8" t="s">
        <v>3015</v>
      </c>
      <c r="O742" s="6">
        <f>HYPERLINK("https://docs.wto.org/imrd/directdoc.asp?DDFDocuments/t/G/SPS/NCHL809.DOCX", "https://docs.wto.org/imrd/directdoc.asp?DDFDocuments/t/G/SPS/NCHL809.DOCX")</f>
      </c>
      <c r="P742" s="6">
        <f>HYPERLINK("https://docs.wto.org/imrd/directdoc.asp?DDFDocuments/u/G/SPS/NCHL809.DOCX", "https://docs.wto.org/imrd/directdoc.asp?DDFDocuments/u/G/SPS/NCHL809.DOCX")</f>
      </c>
      <c r="Q742" s="6">
        <f>HYPERLINK("https://docs.wto.org/imrd/directdoc.asp?DDFDocuments/v/G/SPS/NCHL809.DOCX", "https://docs.wto.org/imrd/directdoc.asp?DDFDocuments/v/G/SPS/NCHL809.DOCX")</f>
      </c>
    </row>
    <row r="743">
      <c r="A743" s="6" t="s">
        <v>104</v>
      </c>
      <c r="B743" s="7">
        <v>45609</v>
      </c>
      <c r="C743" s="9">
        <f>HYPERLINK("https://eping.wto.org/en/Search?viewData= G/TBT/N/CHN/1945"," G/TBT/N/CHN/1945")</f>
      </c>
      <c r="D743" s="8" t="s">
        <v>3016</v>
      </c>
      <c r="E743" s="8" t="s">
        <v>3017</v>
      </c>
      <c r="F743" s="8" t="s">
        <v>3018</v>
      </c>
      <c r="G743" s="8" t="s">
        <v>3019</v>
      </c>
      <c r="H743" s="8" t="s">
        <v>2982</v>
      </c>
      <c r="I743" s="8" t="s">
        <v>39</v>
      </c>
      <c r="J743" s="8" t="s">
        <v>22</v>
      </c>
      <c r="K743" s="6"/>
      <c r="L743" s="7">
        <v>45669</v>
      </c>
      <c r="M743" s="6" t="s">
        <v>32</v>
      </c>
      <c r="N743" s="8" t="s">
        <v>3020</v>
      </c>
      <c r="O743" s="6">
        <f>HYPERLINK("https://docs.wto.org/imrd/directdoc.asp?DDFDocuments/t/G/TBTN24/CHN1945.DOCX", "https://docs.wto.org/imrd/directdoc.asp?DDFDocuments/t/G/TBTN24/CHN1945.DOCX")</f>
      </c>
      <c r="P743" s="6">
        <f>HYPERLINK("https://docs.wto.org/imrd/directdoc.asp?DDFDocuments/u/G/TBTN24/CHN1945.DOCX", "https://docs.wto.org/imrd/directdoc.asp?DDFDocuments/u/G/TBTN24/CHN1945.DOCX")</f>
      </c>
      <c r="Q743" s="6">
        <f>HYPERLINK("https://docs.wto.org/imrd/directdoc.asp?DDFDocuments/v/G/TBTN24/CHN1945.DOCX", "https://docs.wto.org/imrd/directdoc.asp?DDFDocuments/v/G/TBTN24/CHN1945.DOCX")</f>
      </c>
    </row>
    <row r="744">
      <c r="A744" s="6" t="s">
        <v>49</v>
      </c>
      <c r="B744" s="7">
        <v>45608</v>
      </c>
      <c r="C744" s="9">
        <f>HYPERLINK("https://eping.wto.org/en/Search?viewData= G/TBT/N/TZA/1220"," G/TBT/N/TZA/1220")</f>
      </c>
      <c r="D744" s="8" t="s">
        <v>3021</v>
      </c>
      <c r="E744" s="8" t="s">
        <v>3022</v>
      </c>
      <c r="F744" s="8" t="s">
        <v>3023</v>
      </c>
      <c r="G744" s="8" t="s">
        <v>3024</v>
      </c>
      <c r="H744" s="8" t="s">
        <v>57</v>
      </c>
      <c r="I744" s="8" t="s">
        <v>1058</v>
      </c>
      <c r="J744" s="8" t="s">
        <v>58</v>
      </c>
      <c r="K744" s="6"/>
      <c r="L744" s="7">
        <v>45668</v>
      </c>
      <c r="M744" s="6" t="s">
        <v>32</v>
      </c>
      <c r="N744" s="8" t="s">
        <v>3025</v>
      </c>
      <c r="O744" s="6">
        <f>HYPERLINK("https://docs.wto.org/imrd/directdoc.asp?DDFDocuments/t/G/TBTN24/TZA1220.DOCX", "https://docs.wto.org/imrd/directdoc.asp?DDFDocuments/t/G/TBTN24/TZA1220.DOCX")</f>
      </c>
      <c r="P744" s="6">
        <f>HYPERLINK("https://docs.wto.org/imrd/directdoc.asp?DDFDocuments/u/G/TBTN24/TZA1220.DOCX", "https://docs.wto.org/imrd/directdoc.asp?DDFDocuments/u/G/TBTN24/TZA1220.DOCX")</f>
      </c>
      <c r="Q744" s="6">
        <f>HYPERLINK("https://docs.wto.org/imrd/directdoc.asp?DDFDocuments/v/G/TBTN24/TZA1220.DOCX", "https://docs.wto.org/imrd/directdoc.asp?DDFDocuments/v/G/TBTN24/TZA1220.DOCX")</f>
      </c>
    </row>
    <row r="745">
      <c r="A745" s="6" t="s">
        <v>49</v>
      </c>
      <c r="B745" s="7">
        <v>45608</v>
      </c>
      <c r="C745" s="9">
        <f>HYPERLINK("https://eping.wto.org/en/Search?viewData= G/TBT/N/TZA/1217"," G/TBT/N/TZA/1217")</f>
      </c>
      <c r="D745" s="8" t="s">
        <v>3026</v>
      </c>
      <c r="E745" s="8" t="s">
        <v>3027</v>
      </c>
      <c r="F745" s="8" t="s">
        <v>1486</v>
      </c>
      <c r="G745" s="8" t="s">
        <v>1377</v>
      </c>
      <c r="H745" s="8" t="s">
        <v>1136</v>
      </c>
      <c r="I745" s="8" t="s">
        <v>1058</v>
      </c>
      <c r="J745" s="8" t="s">
        <v>58</v>
      </c>
      <c r="K745" s="6"/>
      <c r="L745" s="7">
        <v>45668</v>
      </c>
      <c r="M745" s="6" t="s">
        <v>32</v>
      </c>
      <c r="N745" s="8" t="s">
        <v>3028</v>
      </c>
      <c r="O745" s="6">
        <f>HYPERLINK("https://docs.wto.org/imrd/directdoc.asp?DDFDocuments/t/G/TBTN24/TZA1217.DOCX", "https://docs.wto.org/imrd/directdoc.asp?DDFDocuments/t/G/TBTN24/TZA1217.DOCX")</f>
      </c>
      <c r="P745" s="6">
        <f>HYPERLINK("https://docs.wto.org/imrd/directdoc.asp?DDFDocuments/u/G/TBTN24/TZA1217.DOCX", "https://docs.wto.org/imrd/directdoc.asp?DDFDocuments/u/G/TBTN24/TZA1217.DOCX")</f>
      </c>
      <c r="Q745" s="6">
        <f>HYPERLINK("https://docs.wto.org/imrd/directdoc.asp?DDFDocuments/v/G/TBTN24/TZA1217.DOCX", "https://docs.wto.org/imrd/directdoc.asp?DDFDocuments/v/G/TBTN24/TZA1217.DOCX")</f>
      </c>
    </row>
    <row r="746">
      <c r="A746" s="6" t="s">
        <v>49</v>
      </c>
      <c r="B746" s="7">
        <v>45608</v>
      </c>
      <c r="C746" s="9">
        <f>HYPERLINK("https://eping.wto.org/en/Search?viewData= G/SPS/N/TZA/401"," G/SPS/N/TZA/401")</f>
      </c>
      <c r="D746" s="8" t="s">
        <v>3029</v>
      </c>
      <c r="E746" s="8" t="s">
        <v>3030</v>
      </c>
      <c r="F746" s="8" t="s">
        <v>3031</v>
      </c>
      <c r="G746" s="8" t="s">
        <v>3024</v>
      </c>
      <c r="H746" s="8" t="s">
        <v>57</v>
      </c>
      <c r="I746" s="8" t="s">
        <v>120</v>
      </c>
      <c r="J746" s="8" t="s">
        <v>416</v>
      </c>
      <c r="K746" s="6" t="s">
        <v>22</v>
      </c>
      <c r="L746" s="7">
        <v>45668</v>
      </c>
      <c r="M746" s="6" t="s">
        <v>32</v>
      </c>
      <c r="N746" s="8" t="s">
        <v>3032</v>
      </c>
      <c r="O746" s="6">
        <f>HYPERLINK("https://docs.wto.org/imrd/directdoc.asp?DDFDocuments/t/G/SPS/NTZA401.DOCX", "https://docs.wto.org/imrd/directdoc.asp?DDFDocuments/t/G/SPS/NTZA401.DOCX")</f>
      </c>
      <c r="P746" s="6">
        <f>HYPERLINK("https://docs.wto.org/imrd/directdoc.asp?DDFDocuments/u/G/SPS/NTZA401.DOCX", "https://docs.wto.org/imrd/directdoc.asp?DDFDocuments/u/G/SPS/NTZA401.DOCX")</f>
      </c>
      <c r="Q746" s="6">
        <f>HYPERLINK("https://docs.wto.org/imrd/directdoc.asp?DDFDocuments/v/G/SPS/NTZA401.DOCX", "https://docs.wto.org/imrd/directdoc.asp?DDFDocuments/v/G/SPS/NTZA401.DOCX")</f>
      </c>
    </row>
    <row r="747">
      <c r="A747" s="6" t="s">
        <v>49</v>
      </c>
      <c r="B747" s="7">
        <v>45608</v>
      </c>
      <c r="C747" s="9">
        <f>HYPERLINK("https://eping.wto.org/en/Search?viewData= G/SPS/N/TZA/400"," G/SPS/N/TZA/400")</f>
      </c>
      <c r="D747" s="8" t="s">
        <v>3033</v>
      </c>
      <c r="E747" s="8" t="s">
        <v>3034</v>
      </c>
      <c r="F747" s="8" t="s">
        <v>3031</v>
      </c>
      <c r="G747" s="8" t="s">
        <v>3024</v>
      </c>
      <c r="H747" s="8" t="s">
        <v>57</v>
      </c>
      <c r="I747" s="8" t="s">
        <v>120</v>
      </c>
      <c r="J747" s="8" t="s">
        <v>255</v>
      </c>
      <c r="K747" s="6" t="s">
        <v>22</v>
      </c>
      <c r="L747" s="7">
        <v>45668</v>
      </c>
      <c r="M747" s="6" t="s">
        <v>32</v>
      </c>
      <c r="N747" s="8" t="s">
        <v>3035</v>
      </c>
      <c r="O747" s="6">
        <f>HYPERLINK("https://docs.wto.org/imrd/directdoc.asp?DDFDocuments/t/G/SPS/NTZA400.DOCX", "https://docs.wto.org/imrd/directdoc.asp?DDFDocuments/t/G/SPS/NTZA400.DOCX")</f>
      </c>
      <c r="P747" s="6">
        <f>HYPERLINK("https://docs.wto.org/imrd/directdoc.asp?DDFDocuments/u/G/SPS/NTZA400.DOCX", "https://docs.wto.org/imrd/directdoc.asp?DDFDocuments/u/G/SPS/NTZA400.DOCX")</f>
      </c>
      <c r="Q747" s="6">
        <f>HYPERLINK("https://docs.wto.org/imrd/directdoc.asp?DDFDocuments/v/G/SPS/NTZA400.DOCX", "https://docs.wto.org/imrd/directdoc.asp?DDFDocuments/v/G/SPS/NTZA400.DOCX")</f>
      </c>
    </row>
    <row r="748">
      <c r="A748" s="6" t="s">
        <v>49</v>
      </c>
      <c r="B748" s="7">
        <v>45608</v>
      </c>
      <c r="C748" s="9">
        <f>HYPERLINK("https://eping.wto.org/en/Search?viewData= G/SPS/N/TZA/397"," G/SPS/N/TZA/397")</f>
      </c>
      <c r="D748" s="8" t="s">
        <v>3036</v>
      </c>
      <c r="E748" s="8" t="s">
        <v>3037</v>
      </c>
      <c r="F748" s="8" t="s">
        <v>1144</v>
      </c>
      <c r="G748" s="8" t="s">
        <v>1145</v>
      </c>
      <c r="H748" s="8" t="s">
        <v>1136</v>
      </c>
      <c r="I748" s="8" t="s">
        <v>120</v>
      </c>
      <c r="J748" s="8" t="s">
        <v>255</v>
      </c>
      <c r="K748" s="6" t="s">
        <v>22</v>
      </c>
      <c r="L748" s="7">
        <v>45668</v>
      </c>
      <c r="M748" s="6" t="s">
        <v>32</v>
      </c>
      <c r="N748" s="8" t="s">
        <v>3038</v>
      </c>
      <c r="O748" s="6">
        <f>HYPERLINK("https://docs.wto.org/imrd/directdoc.asp?DDFDocuments/t/G/SPS/NTZA397.DOCX", "https://docs.wto.org/imrd/directdoc.asp?DDFDocuments/t/G/SPS/NTZA397.DOCX")</f>
      </c>
      <c r="P748" s="6">
        <f>HYPERLINK("https://docs.wto.org/imrd/directdoc.asp?DDFDocuments/u/G/SPS/NTZA397.DOCX", "https://docs.wto.org/imrd/directdoc.asp?DDFDocuments/u/G/SPS/NTZA397.DOCX")</f>
      </c>
      <c r="Q748" s="6">
        <f>HYPERLINK("https://docs.wto.org/imrd/directdoc.asp?DDFDocuments/v/G/SPS/NTZA397.DOCX", "https://docs.wto.org/imrd/directdoc.asp?DDFDocuments/v/G/SPS/NTZA397.DOCX")</f>
      </c>
    </row>
    <row r="749">
      <c r="A749" s="6" t="s">
        <v>49</v>
      </c>
      <c r="B749" s="7">
        <v>45608</v>
      </c>
      <c r="C749" s="9">
        <f>HYPERLINK("https://eping.wto.org/en/Search?viewData= G/TBT/N/TZA/1219"," G/TBT/N/TZA/1219")</f>
      </c>
      <c r="D749" s="8" t="s">
        <v>3039</v>
      </c>
      <c r="E749" s="8" t="s">
        <v>3040</v>
      </c>
      <c r="F749" s="8" t="s">
        <v>3023</v>
      </c>
      <c r="G749" s="8" t="s">
        <v>3024</v>
      </c>
      <c r="H749" s="8" t="s">
        <v>57</v>
      </c>
      <c r="I749" s="8" t="s">
        <v>1058</v>
      </c>
      <c r="J749" s="8" t="s">
        <v>58</v>
      </c>
      <c r="K749" s="6"/>
      <c r="L749" s="7">
        <v>45668</v>
      </c>
      <c r="M749" s="6" t="s">
        <v>32</v>
      </c>
      <c r="N749" s="8" t="s">
        <v>3041</v>
      </c>
      <c r="O749" s="6">
        <f>HYPERLINK("https://docs.wto.org/imrd/directdoc.asp?DDFDocuments/t/G/TBTN24/TZA1219.DOCX", "https://docs.wto.org/imrd/directdoc.asp?DDFDocuments/t/G/TBTN24/TZA1219.DOCX")</f>
      </c>
      <c r="P749" s="6">
        <f>HYPERLINK("https://docs.wto.org/imrd/directdoc.asp?DDFDocuments/u/G/TBTN24/TZA1219.DOCX", "https://docs.wto.org/imrd/directdoc.asp?DDFDocuments/u/G/TBTN24/TZA1219.DOCX")</f>
      </c>
      <c r="Q749" s="6">
        <f>HYPERLINK("https://docs.wto.org/imrd/directdoc.asp?DDFDocuments/v/G/TBTN24/TZA1219.DOCX", "https://docs.wto.org/imrd/directdoc.asp?DDFDocuments/v/G/TBTN24/TZA1219.DOCX")</f>
      </c>
    </row>
    <row r="750">
      <c r="A750" s="6" t="s">
        <v>333</v>
      </c>
      <c r="B750" s="7">
        <v>45608</v>
      </c>
      <c r="C750" s="9">
        <f>HYPERLINK("https://eping.wto.org/en/Search?viewData= G/TBT/N/AUS/178"," G/TBT/N/AUS/178")</f>
      </c>
      <c r="D750" s="8" t="s">
        <v>3042</v>
      </c>
      <c r="E750" s="8" t="s">
        <v>3043</v>
      </c>
      <c r="F750" s="8" t="s">
        <v>3044</v>
      </c>
      <c r="G750" s="8" t="s">
        <v>22</v>
      </c>
      <c r="H750" s="8" t="s">
        <v>115</v>
      </c>
      <c r="I750" s="8" t="s">
        <v>138</v>
      </c>
      <c r="J750" s="8" t="s">
        <v>58</v>
      </c>
      <c r="K750" s="6"/>
      <c r="L750" s="7">
        <v>45668</v>
      </c>
      <c r="M750" s="6" t="s">
        <v>32</v>
      </c>
      <c r="N750" s="8" t="s">
        <v>3045</v>
      </c>
      <c r="O750" s="6">
        <f>HYPERLINK("https://docs.wto.org/imrd/directdoc.asp?DDFDocuments/t/G/TBTN24/AUS178.DOCX", "https://docs.wto.org/imrd/directdoc.asp?DDFDocuments/t/G/TBTN24/AUS178.DOCX")</f>
      </c>
      <c r="P750" s="6">
        <f>HYPERLINK("https://docs.wto.org/imrd/directdoc.asp?DDFDocuments/u/G/TBTN24/AUS178.DOCX", "https://docs.wto.org/imrd/directdoc.asp?DDFDocuments/u/G/TBTN24/AUS178.DOCX")</f>
      </c>
      <c r="Q750" s="6">
        <f>HYPERLINK("https://docs.wto.org/imrd/directdoc.asp?DDFDocuments/v/G/TBTN24/AUS178.DOCX", "https://docs.wto.org/imrd/directdoc.asp?DDFDocuments/v/G/TBTN24/AUS178.DOCX")</f>
      </c>
    </row>
    <row r="751">
      <c r="A751" s="6" t="s">
        <v>49</v>
      </c>
      <c r="B751" s="7">
        <v>45608</v>
      </c>
      <c r="C751" s="9">
        <f>HYPERLINK("https://eping.wto.org/en/Search?viewData= G/SPS/N/TZA/396"," G/SPS/N/TZA/396")</f>
      </c>
      <c r="D751" s="8" t="s">
        <v>3046</v>
      </c>
      <c r="E751" s="8" t="s">
        <v>3047</v>
      </c>
      <c r="F751" s="8" t="s">
        <v>1376</v>
      </c>
      <c r="G751" s="8" t="s">
        <v>1377</v>
      </c>
      <c r="H751" s="8" t="s">
        <v>1136</v>
      </c>
      <c r="I751" s="8" t="s">
        <v>120</v>
      </c>
      <c r="J751" s="8" t="s">
        <v>3048</v>
      </c>
      <c r="K751" s="6" t="s">
        <v>22</v>
      </c>
      <c r="L751" s="7">
        <v>45668</v>
      </c>
      <c r="M751" s="6" t="s">
        <v>32</v>
      </c>
      <c r="N751" s="8" t="s">
        <v>3049</v>
      </c>
      <c r="O751" s="6">
        <f>HYPERLINK("https://docs.wto.org/imrd/directdoc.asp?DDFDocuments/t/G/SPS/NTZA396.DOCX", "https://docs.wto.org/imrd/directdoc.asp?DDFDocuments/t/G/SPS/NTZA396.DOCX")</f>
      </c>
      <c r="P751" s="6">
        <f>HYPERLINK("https://docs.wto.org/imrd/directdoc.asp?DDFDocuments/u/G/SPS/NTZA396.DOCX", "https://docs.wto.org/imrd/directdoc.asp?DDFDocuments/u/G/SPS/NTZA396.DOCX")</f>
      </c>
      <c r="Q751" s="6">
        <f>HYPERLINK("https://docs.wto.org/imrd/directdoc.asp?DDFDocuments/v/G/SPS/NTZA396.DOCX", "https://docs.wto.org/imrd/directdoc.asp?DDFDocuments/v/G/SPS/NTZA396.DOCX")</f>
      </c>
    </row>
    <row r="752">
      <c r="A752" s="6" t="s">
        <v>472</v>
      </c>
      <c r="B752" s="7">
        <v>45608</v>
      </c>
      <c r="C752" s="9">
        <f>HYPERLINK("https://eping.wto.org/en/Search?viewData= G/SPS/N/JPN/1274/Add.1"," G/SPS/N/JPN/1274/Add.1")</f>
      </c>
      <c r="D752" s="8" t="s">
        <v>3050</v>
      </c>
      <c r="E752" s="8" t="s">
        <v>3051</v>
      </c>
      <c r="F752" s="8" t="s">
        <v>3052</v>
      </c>
      <c r="G752" s="8" t="s">
        <v>22</v>
      </c>
      <c r="H752" s="8" t="s">
        <v>22</v>
      </c>
      <c r="I752" s="8" t="s">
        <v>120</v>
      </c>
      <c r="J752" s="8" t="s">
        <v>1903</v>
      </c>
      <c r="K752" s="6"/>
      <c r="L752" s="7" t="s">
        <v>22</v>
      </c>
      <c r="M752" s="6" t="s">
        <v>40</v>
      </c>
      <c r="N752" s="8" t="s">
        <v>3053</v>
      </c>
      <c r="O752" s="6">
        <f>HYPERLINK("https://docs.wto.org/imrd/directdoc.asp?DDFDocuments/t/G/SPS/NJPN1274A1.DOCX", "https://docs.wto.org/imrd/directdoc.asp?DDFDocuments/t/G/SPS/NJPN1274A1.DOCX")</f>
      </c>
      <c r="P752" s="6">
        <f>HYPERLINK("https://docs.wto.org/imrd/directdoc.asp?DDFDocuments/u/G/SPS/NJPN1274A1.DOCX", "https://docs.wto.org/imrd/directdoc.asp?DDFDocuments/u/G/SPS/NJPN1274A1.DOCX")</f>
      </c>
      <c r="Q752" s="6">
        <f>HYPERLINK("https://docs.wto.org/imrd/directdoc.asp?DDFDocuments/v/G/SPS/NJPN1274A1.DOCX", "https://docs.wto.org/imrd/directdoc.asp?DDFDocuments/v/G/SPS/NJPN1274A1.DOCX")</f>
      </c>
    </row>
    <row r="753">
      <c r="A753" s="6" t="s">
        <v>49</v>
      </c>
      <c r="B753" s="7">
        <v>45608</v>
      </c>
      <c r="C753" s="9">
        <f>HYPERLINK("https://eping.wto.org/en/Search?viewData= G/SPS/N/TZA/398"," G/SPS/N/TZA/398")</f>
      </c>
      <c r="D753" s="8" t="s">
        <v>3054</v>
      </c>
      <c r="E753" s="8" t="s">
        <v>3055</v>
      </c>
      <c r="F753" s="8" t="s">
        <v>3056</v>
      </c>
      <c r="G753" s="8" t="s">
        <v>3057</v>
      </c>
      <c r="H753" s="8" t="s">
        <v>1136</v>
      </c>
      <c r="I753" s="8" t="s">
        <v>120</v>
      </c>
      <c r="J753" s="8" t="s">
        <v>416</v>
      </c>
      <c r="K753" s="6" t="s">
        <v>22</v>
      </c>
      <c r="L753" s="7">
        <v>45668</v>
      </c>
      <c r="M753" s="6" t="s">
        <v>32</v>
      </c>
      <c r="N753" s="8" t="s">
        <v>3058</v>
      </c>
      <c r="O753" s="6">
        <f>HYPERLINK("https://docs.wto.org/imrd/directdoc.asp?DDFDocuments/t/G/SPS/NTZA398.DOCX", "https://docs.wto.org/imrd/directdoc.asp?DDFDocuments/t/G/SPS/NTZA398.DOCX")</f>
      </c>
      <c r="P753" s="6">
        <f>HYPERLINK("https://docs.wto.org/imrd/directdoc.asp?DDFDocuments/u/G/SPS/NTZA398.DOCX", "https://docs.wto.org/imrd/directdoc.asp?DDFDocuments/u/G/SPS/NTZA398.DOCX")</f>
      </c>
      <c r="Q753" s="6">
        <f>HYPERLINK("https://docs.wto.org/imrd/directdoc.asp?DDFDocuments/v/G/SPS/NTZA398.DOCX", "https://docs.wto.org/imrd/directdoc.asp?DDFDocuments/v/G/SPS/NTZA398.DOCX")</f>
      </c>
    </row>
    <row r="754">
      <c r="A754" s="6" t="s">
        <v>418</v>
      </c>
      <c r="B754" s="7">
        <v>45608</v>
      </c>
      <c r="C754" s="9">
        <f>HYPERLINK("https://eping.wto.org/en/Search?viewData= G/TBT/N/EU/1094"," G/TBT/N/EU/1094")</f>
      </c>
      <c r="D754" s="8" t="s">
        <v>3059</v>
      </c>
      <c r="E754" s="8" t="s">
        <v>3060</v>
      </c>
      <c r="F754" s="8" t="s">
        <v>3061</v>
      </c>
      <c r="G754" s="8" t="s">
        <v>22</v>
      </c>
      <c r="H754" s="8" t="s">
        <v>3062</v>
      </c>
      <c r="I754" s="8" t="s">
        <v>138</v>
      </c>
      <c r="J754" s="8" t="s">
        <v>22</v>
      </c>
      <c r="K754" s="6"/>
      <c r="L754" s="7">
        <v>45668</v>
      </c>
      <c r="M754" s="6" t="s">
        <v>32</v>
      </c>
      <c r="N754" s="8" t="s">
        <v>3063</v>
      </c>
      <c r="O754" s="6">
        <f>HYPERLINK("https://docs.wto.org/imrd/directdoc.asp?DDFDocuments/t/G/TBTN24/EU1094.DOCX", "https://docs.wto.org/imrd/directdoc.asp?DDFDocuments/t/G/TBTN24/EU1094.DOCX")</f>
      </c>
      <c r="P754" s="6">
        <f>HYPERLINK("https://docs.wto.org/imrd/directdoc.asp?DDFDocuments/u/G/TBTN24/EU1094.DOCX", "https://docs.wto.org/imrd/directdoc.asp?DDFDocuments/u/G/TBTN24/EU1094.DOCX")</f>
      </c>
      <c r="Q754" s="6">
        <f>HYPERLINK("https://docs.wto.org/imrd/directdoc.asp?DDFDocuments/v/G/TBTN24/EU1094.DOCX", "https://docs.wto.org/imrd/directdoc.asp?DDFDocuments/v/G/TBTN24/EU1094.DOCX")</f>
      </c>
    </row>
    <row r="755">
      <c r="A755" s="6" t="s">
        <v>49</v>
      </c>
      <c r="B755" s="7">
        <v>45608</v>
      </c>
      <c r="C755" s="9">
        <f>HYPERLINK("https://eping.wto.org/en/Search?viewData= G/TBT/N/TZA/1218"," G/TBT/N/TZA/1218")</f>
      </c>
      <c r="D755" s="8" t="s">
        <v>3064</v>
      </c>
      <c r="E755" s="8" t="s">
        <v>3065</v>
      </c>
      <c r="F755" s="8" t="s">
        <v>3066</v>
      </c>
      <c r="G755" s="8" t="s">
        <v>3057</v>
      </c>
      <c r="H755" s="8" t="s">
        <v>57</v>
      </c>
      <c r="I755" s="8" t="s">
        <v>1058</v>
      </c>
      <c r="J755" s="8" t="s">
        <v>58</v>
      </c>
      <c r="K755" s="6"/>
      <c r="L755" s="7">
        <v>45668</v>
      </c>
      <c r="M755" s="6" t="s">
        <v>32</v>
      </c>
      <c r="N755" s="8" t="s">
        <v>3067</v>
      </c>
      <c r="O755" s="6">
        <f>HYPERLINK("https://docs.wto.org/imrd/directdoc.asp?DDFDocuments/t/G/TBTN24/TZA1218.DOCX", "https://docs.wto.org/imrd/directdoc.asp?DDFDocuments/t/G/TBTN24/TZA1218.DOCX")</f>
      </c>
      <c r="P755" s="6">
        <f>HYPERLINK("https://docs.wto.org/imrd/directdoc.asp?DDFDocuments/u/G/TBTN24/TZA1218.DOCX", "https://docs.wto.org/imrd/directdoc.asp?DDFDocuments/u/G/TBTN24/TZA1218.DOCX")</f>
      </c>
      <c r="Q755" s="6">
        <f>HYPERLINK("https://docs.wto.org/imrd/directdoc.asp?DDFDocuments/v/G/TBTN24/TZA1218.DOCX", "https://docs.wto.org/imrd/directdoc.asp?DDFDocuments/v/G/TBTN24/TZA1218.DOCX")</f>
      </c>
    </row>
    <row r="756">
      <c r="A756" s="6" t="s">
        <v>49</v>
      </c>
      <c r="B756" s="7">
        <v>45608</v>
      </c>
      <c r="C756" s="9">
        <f>HYPERLINK("https://eping.wto.org/en/Search?viewData= G/TBT/N/TZA/1216"," G/TBT/N/TZA/1216")</f>
      </c>
      <c r="D756" s="8" t="s">
        <v>3068</v>
      </c>
      <c r="E756" s="8" t="s">
        <v>3069</v>
      </c>
      <c r="F756" s="8" t="s">
        <v>1486</v>
      </c>
      <c r="G756" s="8" t="s">
        <v>1377</v>
      </c>
      <c r="H756" s="8" t="s">
        <v>1136</v>
      </c>
      <c r="I756" s="8" t="s">
        <v>1058</v>
      </c>
      <c r="J756" s="8" t="s">
        <v>58</v>
      </c>
      <c r="K756" s="6"/>
      <c r="L756" s="7">
        <v>45668</v>
      </c>
      <c r="M756" s="6" t="s">
        <v>32</v>
      </c>
      <c r="N756" s="8" t="s">
        <v>3070</v>
      </c>
      <c r="O756" s="6">
        <f>HYPERLINK("https://docs.wto.org/imrd/directdoc.asp?DDFDocuments/t/G/TBTN24/TZA1216.DOCX", "https://docs.wto.org/imrd/directdoc.asp?DDFDocuments/t/G/TBTN24/TZA1216.DOCX")</f>
      </c>
      <c r="P756" s="6">
        <f>HYPERLINK("https://docs.wto.org/imrd/directdoc.asp?DDFDocuments/u/G/TBTN24/TZA1216.DOCX", "https://docs.wto.org/imrd/directdoc.asp?DDFDocuments/u/G/TBTN24/TZA1216.DOCX")</f>
      </c>
      <c r="Q756" s="6">
        <f>HYPERLINK("https://docs.wto.org/imrd/directdoc.asp?DDFDocuments/v/G/TBTN24/TZA1216.DOCX", "https://docs.wto.org/imrd/directdoc.asp?DDFDocuments/v/G/TBTN24/TZA1216.DOCX")</f>
      </c>
    </row>
    <row r="757">
      <c r="A757" s="6" t="s">
        <v>49</v>
      </c>
      <c r="B757" s="7">
        <v>45608</v>
      </c>
      <c r="C757" s="9">
        <f>HYPERLINK("https://eping.wto.org/en/Search?viewData= G/SPS/N/TZA/399"," G/SPS/N/TZA/399")</f>
      </c>
      <c r="D757" s="8" t="s">
        <v>3071</v>
      </c>
      <c r="E757" s="8" t="s">
        <v>3072</v>
      </c>
      <c r="F757" s="8" t="s">
        <v>3031</v>
      </c>
      <c r="G757" s="8" t="s">
        <v>3024</v>
      </c>
      <c r="H757" s="8" t="s">
        <v>57</v>
      </c>
      <c r="I757" s="8" t="s">
        <v>120</v>
      </c>
      <c r="J757" s="8" t="s">
        <v>416</v>
      </c>
      <c r="K757" s="6" t="s">
        <v>22</v>
      </c>
      <c r="L757" s="7">
        <v>45668</v>
      </c>
      <c r="M757" s="6" t="s">
        <v>32</v>
      </c>
      <c r="N757" s="8" t="s">
        <v>3073</v>
      </c>
      <c r="O757" s="6">
        <f>HYPERLINK("https://docs.wto.org/imrd/directdoc.asp?DDFDocuments/t/G/SPS/NTZA399.DOCX", "https://docs.wto.org/imrd/directdoc.asp?DDFDocuments/t/G/SPS/NTZA399.DOCX")</f>
      </c>
      <c r="P757" s="6">
        <f>HYPERLINK("https://docs.wto.org/imrd/directdoc.asp?DDFDocuments/u/G/SPS/NTZA399.DOCX", "https://docs.wto.org/imrd/directdoc.asp?DDFDocuments/u/G/SPS/NTZA399.DOCX")</f>
      </c>
      <c r="Q757" s="6">
        <f>HYPERLINK("https://docs.wto.org/imrd/directdoc.asp?DDFDocuments/v/G/SPS/NTZA399.DOCX", "https://docs.wto.org/imrd/directdoc.asp?DDFDocuments/v/G/SPS/NTZA399.DOCX")</f>
      </c>
    </row>
    <row r="758">
      <c r="A758" s="6" t="s">
        <v>53</v>
      </c>
      <c r="B758" s="7">
        <v>45608</v>
      </c>
      <c r="C758" s="9">
        <f>HYPERLINK("https://eping.wto.org/en/Search?viewData= G/SPS/N/KEN/310"," G/SPS/N/KEN/310")</f>
      </c>
      <c r="D758" s="8" t="s">
        <v>3074</v>
      </c>
      <c r="E758" s="8" t="s">
        <v>3075</v>
      </c>
      <c r="F758" s="8" t="s">
        <v>3076</v>
      </c>
      <c r="G758" s="8" t="s">
        <v>3077</v>
      </c>
      <c r="H758" s="8" t="s">
        <v>3078</v>
      </c>
      <c r="I758" s="8" t="s">
        <v>120</v>
      </c>
      <c r="J758" s="8" t="s">
        <v>416</v>
      </c>
      <c r="K758" s="6" t="s">
        <v>22</v>
      </c>
      <c r="L758" s="7">
        <v>45668</v>
      </c>
      <c r="M758" s="6" t="s">
        <v>32</v>
      </c>
      <c r="N758" s="8" t="s">
        <v>3079</v>
      </c>
      <c r="O758" s="6">
        <f>HYPERLINK("https://docs.wto.org/imrd/directdoc.asp?DDFDocuments/t/G/SPS/NKEN310.DOCX", "https://docs.wto.org/imrd/directdoc.asp?DDFDocuments/t/G/SPS/NKEN310.DOCX")</f>
      </c>
      <c r="P758" s="6">
        <f>HYPERLINK("https://docs.wto.org/imrd/directdoc.asp?DDFDocuments/u/G/SPS/NKEN310.DOCX", "https://docs.wto.org/imrd/directdoc.asp?DDFDocuments/u/G/SPS/NKEN310.DOCX")</f>
      </c>
      <c r="Q758" s="6">
        <f>HYPERLINK("https://docs.wto.org/imrd/directdoc.asp?DDFDocuments/v/G/SPS/NKEN310.DOCX", "https://docs.wto.org/imrd/directdoc.asp?DDFDocuments/v/G/SPS/NKEN310.DOCX")</f>
      </c>
    </row>
    <row r="759">
      <c r="A759" s="6" t="s">
        <v>49</v>
      </c>
      <c r="B759" s="7">
        <v>45608</v>
      </c>
      <c r="C759" s="9">
        <f>HYPERLINK("https://eping.wto.org/en/Search?viewData= G/TBT/N/TZA/1221"," G/TBT/N/TZA/1221")</f>
      </c>
      <c r="D759" s="8" t="s">
        <v>3080</v>
      </c>
      <c r="E759" s="8" t="s">
        <v>3081</v>
      </c>
      <c r="F759" s="8" t="s">
        <v>3023</v>
      </c>
      <c r="G759" s="8" t="s">
        <v>3024</v>
      </c>
      <c r="H759" s="8" t="s">
        <v>57</v>
      </c>
      <c r="I759" s="8" t="s">
        <v>1058</v>
      </c>
      <c r="J759" s="8" t="s">
        <v>58</v>
      </c>
      <c r="K759" s="6"/>
      <c r="L759" s="7">
        <v>45668</v>
      </c>
      <c r="M759" s="6" t="s">
        <v>32</v>
      </c>
      <c r="N759" s="8" t="s">
        <v>3082</v>
      </c>
      <c r="O759" s="6">
        <f>HYPERLINK("https://docs.wto.org/imrd/directdoc.asp?DDFDocuments/t/G/TBTN24/TZA1221.DOCX", "https://docs.wto.org/imrd/directdoc.asp?DDFDocuments/t/G/TBTN24/TZA1221.DOCX")</f>
      </c>
      <c r="P759" s="6">
        <f>HYPERLINK("https://docs.wto.org/imrd/directdoc.asp?DDFDocuments/u/G/TBTN24/TZA1221.DOCX", "https://docs.wto.org/imrd/directdoc.asp?DDFDocuments/u/G/TBTN24/TZA1221.DOCX")</f>
      </c>
      <c r="Q759" s="6">
        <f>HYPERLINK("https://docs.wto.org/imrd/directdoc.asp?DDFDocuments/v/G/TBTN24/TZA1221.DOCX", "https://docs.wto.org/imrd/directdoc.asp?DDFDocuments/v/G/TBTN24/TZA1221.DOCX")</f>
      </c>
    </row>
    <row r="760">
      <c r="A760" s="6" t="s">
        <v>17</v>
      </c>
      <c r="B760" s="7">
        <v>45608</v>
      </c>
      <c r="C760" s="9">
        <f>HYPERLINK("https://eping.wto.org/en/Search?viewData= G/SPS/N/KOR/811"," G/SPS/N/KOR/811")</f>
      </c>
      <c r="D760" s="8" t="s">
        <v>3083</v>
      </c>
      <c r="E760" s="8" t="s">
        <v>3084</v>
      </c>
      <c r="F760" s="8" t="s">
        <v>3085</v>
      </c>
      <c r="G760" s="8" t="s">
        <v>3086</v>
      </c>
      <c r="H760" s="8" t="s">
        <v>22</v>
      </c>
      <c r="I760" s="8" t="s">
        <v>348</v>
      </c>
      <c r="J760" s="8" t="s">
        <v>1350</v>
      </c>
      <c r="K760" s="6" t="s">
        <v>22</v>
      </c>
      <c r="L760" s="7">
        <v>45668</v>
      </c>
      <c r="M760" s="6" t="s">
        <v>32</v>
      </c>
      <c r="N760" s="8" t="s">
        <v>3087</v>
      </c>
      <c r="O760" s="6">
        <f>HYPERLINK("https://docs.wto.org/imrd/directdoc.asp?DDFDocuments/t/G/SPS/NKOR811.DOCX", "https://docs.wto.org/imrd/directdoc.asp?DDFDocuments/t/G/SPS/NKOR811.DOCX")</f>
      </c>
      <c r="P760" s="6">
        <f>HYPERLINK("https://docs.wto.org/imrd/directdoc.asp?DDFDocuments/u/G/SPS/NKOR811.DOCX", "https://docs.wto.org/imrd/directdoc.asp?DDFDocuments/u/G/SPS/NKOR811.DOCX")</f>
      </c>
      <c r="Q760" s="6">
        <f>HYPERLINK("https://docs.wto.org/imrd/directdoc.asp?DDFDocuments/v/G/SPS/NKOR811.DOCX", "https://docs.wto.org/imrd/directdoc.asp?DDFDocuments/v/G/SPS/NKOR811.DOCX")</f>
      </c>
    </row>
    <row r="761">
      <c r="A761" s="6" t="s">
        <v>17</v>
      </c>
      <c r="B761" s="7">
        <v>45608</v>
      </c>
      <c r="C761" s="9">
        <f>HYPERLINK("https://eping.wto.org/en/Search?viewData= G/SPS/N/KOR/212/Add.21"," G/SPS/N/KOR/212/Add.21")</f>
      </c>
      <c r="D761" s="8" t="s">
        <v>3088</v>
      </c>
      <c r="E761" s="8" t="s">
        <v>3089</v>
      </c>
      <c r="F761" s="8" t="s">
        <v>3090</v>
      </c>
      <c r="G761" s="8" t="s">
        <v>3091</v>
      </c>
      <c r="H761" s="8" t="s">
        <v>22</v>
      </c>
      <c r="I761" s="8" t="s">
        <v>22</v>
      </c>
      <c r="J761" s="8" t="s">
        <v>3092</v>
      </c>
      <c r="K761" s="6"/>
      <c r="L761" s="7">
        <v>45668</v>
      </c>
      <c r="M761" s="6" t="s">
        <v>40</v>
      </c>
      <c r="N761" s="8" t="s">
        <v>3093</v>
      </c>
      <c r="O761" s="6">
        <f>HYPERLINK("https://docs.wto.org/imrd/directdoc.asp?DDFDocuments/t/G/SPS/NKOR212A21.DOCX", "https://docs.wto.org/imrd/directdoc.asp?DDFDocuments/t/G/SPS/NKOR212A21.DOCX")</f>
      </c>
      <c r="P761" s="6">
        <f>HYPERLINK("https://docs.wto.org/imrd/directdoc.asp?DDFDocuments/u/G/SPS/NKOR212A21.DOCX", "https://docs.wto.org/imrd/directdoc.asp?DDFDocuments/u/G/SPS/NKOR212A21.DOCX")</f>
      </c>
      <c r="Q761" s="6">
        <f>HYPERLINK("https://docs.wto.org/imrd/directdoc.asp?DDFDocuments/v/G/SPS/NKOR212A21.DOCX", "https://docs.wto.org/imrd/directdoc.asp?DDFDocuments/v/G/SPS/NKOR212A21.DOCX")</f>
      </c>
    </row>
    <row r="762">
      <c r="A762" s="6" t="s">
        <v>299</v>
      </c>
      <c r="B762" s="7">
        <v>45608</v>
      </c>
      <c r="C762" s="9">
        <f>HYPERLINK("https://eping.wto.org/en/Search?viewData= G/TBT/N/NZL/140"," G/TBT/N/NZL/140")</f>
      </c>
      <c r="D762" s="8" t="s">
        <v>3094</v>
      </c>
      <c r="E762" s="8" t="s">
        <v>3095</v>
      </c>
      <c r="F762" s="8" t="s">
        <v>3096</v>
      </c>
      <c r="G762" s="8" t="s">
        <v>22</v>
      </c>
      <c r="H762" s="8" t="s">
        <v>115</v>
      </c>
      <c r="I762" s="8" t="s">
        <v>138</v>
      </c>
      <c r="J762" s="8" t="s">
        <v>58</v>
      </c>
      <c r="K762" s="6"/>
      <c r="L762" s="7">
        <v>45668</v>
      </c>
      <c r="M762" s="6" t="s">
        <v>32</v>
      </c>
      <c r="N762" s="8" t="s">
        <v>3045</v>
      </c>
      <c r="O762" s="6">
        <f>HYPERLINK("https://docs.wto.org/imrd/directdoc.asp?DDFDocuments/t/G/TBTN24/NZL140.DOCX", "https://docs.wto.org/imrd/directdoc.asp?DDFDocuments/t/G/TBTN24/NZL140.DOCX")</f>
      </c>
      <c r="P762" s="6">
        <f>HYPERLINK("https://docs.wto.org/imrd/directdoc.asp?DDFDocuments/u/G/TBTN24/NZL140.DOCX", "https://docs.wto.org/imrd/directdoc.asp?DDFDocuments/u/G/TBTN24/NZL140.DOCX")</f>
      </c>
      <c r="Q762" s="6">
        <f>HYPERLINK("https://docs.wto.org/imrd/directdoc.asp?DDFDocuments/v/G/TBTN24/NZL140.DOCX", "https://docs.wto.org/imrd/directdoc.asp?DDFDocuments/v/G/TBTN24/NZL140.DOCX")</f>
      </c>
    </row>
    <row r="763">
      <c r="A763" s="6" t="s">
        <v>26</v>
      </c>
      <c r="B763" s="7">
        <v>45607</v>
      </c>
      <c r="C763" s="9">
        <f>HYPERLINK("https://eping.wto.org/en/Search?viewData= G/TBT/N/BDI/530, G/TBT/N/KEN/1703, G/TBT/N/RWA/1097, G/TBT/N/TZA/1213, G/TBT/N/UGA/2042"," G/TBT/N/BDI/530, G/TBT/N/KEN/1703, G/TBT/N/RWA/1097, G/TBT/N/TZA/1213, G/TBT/N/UGA/2042")</f>
      </c>
      <c r="D763" s="8" t="s">
        <v>3097</v>
      </c>
      <c r="E763" s="8" t="s">
        <v>3098</v>
      </c>
      <c r="F763" s="8" t="s">
        <v>3099</v>
      </c>
      <c r="G763" s="8" t="s">
        <v>3100</v>
      </c>
      <c r="H763" s="8" t="s">
        <v>3101</v>
      </c>
      <c r="I763" s="8" t="s">
        <v>3102</v>
      </c>
      <c r="J763" s="8" t="s">
        <v>22</v>
      </c>
      <c r="K763" s="6"/>
      <c r="L763" s="7">
        <v>45667</v>
      </c>
      <c r="M763" s="6" t="s">
        <v>32</v>
      </c>
      <c r="N763" s="8" t="s">
        <v>3103</v>
      </c>
      <c r="O763" s="6">
        <f>HYPERLINK("https://docs.wto.org/imrd/directdoc.asp?DDFDocuments/t/G/TBTN24/BDI530.DOCX", "https://docs.wto.org/imrd/directdoc.asp?DDFDocuments/t/G/TBTN24/BDI530.DOCX")</f>
      </c>
      <c r="P763" s="6">
        <f>HYPERLINK("https://docs.wto.org/imrd/directdoc.asp?DDFDocuments/u/G/TBTN24/BDI530.DOCX", "https://docs.wto.org/imrd/directdoc.asp?DDFDocuments/u/G/TBTN24/BDI530.DOCX")</f>
      </c>
      <c r="Q763" s="6">
        <f>HYPERLINK("https://docs.wto.org/imrd/directdoc.asp?DDFDocuments/v/G/TBTN24/BDI530.DOCX", "https://docs.wto.org/imrd/directdoc.asp?DDFDocuments/v/G/TBTN24/BDI530.DOCX")</f>
      </c>
    </row>
    <row r="764">
      <c r="A764" s="6" t="s">
        <v>53</v>
      </c>
      <c r="B764" s="7">
        <v>45607</v>
      </c>
      <c r="C764" s="9">
        <f>HYPERLINK("https://eping.wto.org/en/Search?viewData= G/TBT/N/BDI/529, G/TBT/N/KEN/1702, G/TBT/N/RWA/1096, G/TBT/N/TZA/1212, G/TBT/N/UGA/2041"," G/TBT/N/BDI/529, G/TBT/N/KEN/1702, G/TBT/N/RWA/1096, G/TBT/N/TZA/1212, G/TBT/N/UGA/2041")</f>
      </c>
      <c r="D764" s="8" t="s">
        <v>3104</v>
      </c>
      <c r="E764" s="8" t="s">
        <v>3105</v>
      </c>
      <c r="F764" s="8" t="s">
        <v>3106</v>
      </c>
      <c r="G764" s="8" t="s">
        <v>3107</v>
      </c>
      <c r="H764" s="8" t="s">
        <v>3101</v>
      </c>
      <c r="I764" s="8" t="s">
        <v>3108</v>
      </c>
      <c r="J764" s="8" t="s">
        <v>22</v>
      </c>
      <c r="K764" s="6"/>
      <c r="L764" s="7">
        <v>45667</v>
      </c>
      <c r="M764" s="6" t="s">
        <v>32</v>
      </c>
      <c r="N764" s="8" t="s">
        <v>3109</v>
      </c>
      <c r="O764" s="6">
        <f>HYPERLINK("https://docs.wto.org/imrd/directdoc.asp?DDFDocuments/t/G/TBTN24/BDI529.DOCX", "https://docs.wto.org/imrd/directdoc.asp?DDFDocuments/t/G/TBTN24/BDI529.DOCX")</f>
      </c>
      <c r="P764" s="6">
        <f>HYPERLINK("https://docs.wto.org/imrd/directdoc.asp?DDFDocuments/u/G/TBTN24/BDI529.DOCX", "https://docs.wto.org/imrd/directdoc.asp?DDFDocuments/u/G/TBTN24/BDI529.DOCX")</f>
      </c>
      <c r="Q764" s="6">
        <f>HYPERLINK("https://docs.wto.org/imrd/directdoc.asp?DDFDocuments/v/G/TBTN24/BDI529.DOCX", "https://docs.wto.org/imrd/directdoc.asp?DDFDocuments/v/G/TBTN24/BDI529.DOCX")</f>
      </c>
    </row>
    <row r="765">
      <c r="A765" s="6" t="s">
        <v>53</v>
      </c>
      <c r="B765" s="7">
        <v>45607</v>
      </c>
      <c r="C765" s="9">
        <f>HYPERLINK("https://eping.wto.org/en/Search?viewData= G/TBT/N/BDI/532, G/TBT/N/KEN/1705, G/TBT/N/RWA/1099, G/TBT/N/TZA/1215, G/TBT/N/UGA/2044"," G/TBT/N/BDI/532, G/TBT/N/KEN/1705, G/TBT/N/RWA/1099, G/TBT/N/TZA/1215, G/TBT/N/UGA/2044")</f>
      </c>
      <c r="D765" s="8" t="s">
        <v>3110</v>
      </c>
      <c r="E765" s="8" t="s">
        <v>3111</v>
      </c>
      <c r="F765" s="8" t="s">
        <v>3112</v>
      </c>
      <c r="G765" s="8" t="s">
        <v>3113</v>
      </c>
      <c r="H765" s="8" t="s">
        <v>3101</v>
      </c>
      <c r="I765" s="8" t="s">
        <v>3102</v>
      </c>
      <c r="J765" s="8" t="s">
        <v>22</v>
      </c>
      <c r="K765" s="6"/>
      <c r="L765" s="7">
        <v>45667</v>
      </c>
      <c r="M765" s="6" t="s">
        <v>32</v>
      </c>
      <c r="N765" s="8" t="s">
        <v>3114</v>
      </c>
      <c r="O765" s="6">
        <f>HYPERLINK("https://docs.wto.org/imrd/directdoc.asp?DDFDocuments/t/G/TBTN24/BDI532.DOCX", "https://docs.wto.org/imrd/directdoc.asp?DDFDocuments/t/G/TBTN24/BDI532.DOCX")</f>
      </c>
      <c r="P765" s="6">
        <f>HYPERLINK("https://docs.wto.org/imrd/directdoc.asp?DDFDocuments/u/G/TBTN24/BDI532.DOCX", "https://docs.wto.org/imrd/directdoc.asp?DDFDocuments/u/G/TBTN24/BDI532.DOCX")</f>
      </c>
      <c r="Q765" s="6">
        <f>HYPERLINK("https://docs.wto.org/imrd/directdoc.asp?DDFDocuments/v/G/TBTN24/BDI532.DOCX", "https://docs.wto.org/imrd/directdoc.asp?DDFDocuments/v/G/TBTN24/BDI532.DOCX")</f>
      </c>
    </row>
    <row r="766">
      <c r="A766" s="6" t="s">
        <v>49</v>
      </c>
      <c r="B766" s="7">
        <v>45607</v>
      </c>
      <c r="C766" s="9">
        <f>HYPERLINK("https://eping.wto.org/en/Search?viewData= G/TBT/N/BDI/528, G/TBT/N/KEN/1701, G/TBT/N/RWA/1095, G/TBT/N/TZA/1211, G/TBT/N/UGA/2040"," G/TBT/N/BDI/528, G/TBT/N/KEN/1701, G/TBT/N/RWA/1095, G/TBT/N/TZA/1211, G/TBT/N/UGA/2040")</f>
      </c>
      <c r="D766" s="8" t="s">
        <v>3115</v>
      </c>
      <c r="E766" s="8" t="s">
        <v>3116</v>
      </c>
      <c r="F766" s="8" t="s">
        <v>3099</v>
      </c>
      <c r="G766" s="8" t="s">
        <v>3100</v>
      </c>
      <c r="H766" s="8" t="s">
        <v>3101</v>
      </c>
      <c r="I766" s="8" t="s">
        <v>2422</v>
      </c>
      <c r="J766" s="8" t="s">
        <v>22</v>
      </c>
      <c r="K766" s="6"/>
      <c r="L766" s="7">
        <v>45667</v>
      </c>
      <c r="M766" s="6" t="s">
        <v>32</v>
      </c>
      <c r="N766" s="8" t="s">
        <v>3117</v>
      </c>
      <c r="O766" s="6">
        <f>HYPERLINK("https://docs.wto.org/imrd/directdoc.asp?DDFDocuments/t/G/TBTN24/BDI528.DOCX", "https://docs.wto.org/imrd/directdoc.asp?DDFDocuments/t/G/TBTN24/BDI528.DOCX")</f>
      </c>
      <c r="P766" s="6">
        <f>HYPERLINK("https://docs.wto.org/imrd/directdoc.asp?DDFDocuments/u/G/TBTN24/BDI528.DOCX", "https://docs.wto.org/imrd/directdoc.asp?DDFDocuments/u/G/TBTN24/BDI528.DOCX")</f>
      </c>
      <c r="Q766" s="6">
        <f>HYPERLINK("https://docs.wto.org/imrd/directdoc.asp?DDFDocuments/v/G/TBTN24/BDI528.DOCX", "https://docs.wto.org/imrd/directdoc.asp?DDFDocuments/v/G/TBTN24/BDI528.DOCX")</f>
      </c>
    </row>
    <row r="767">
      <c r="A767" s="6" t="s">
        <v>82</v>
      </c>
      <c r="B767" s="7">
        <v>45607</v>
      </c>
      <c r="C767" s="9">
        <f>HYPERLINK("https://eping.wto.org/en/Search?viewData= G/TBT/N/BRA/344/Rev.1/Add.2/Corr.1"," G/TBT/N/BRA/344/Rev.1/Add.2/Corr.1")</f>
      </c>
      <c r="D767" s="8" t="s">
        <v>3118</v>
      </c>
      <c r="E767" s="8" t="s">
        <v>3119</v>
      </c>
      <c r="F767" s="8" t="s">
        <v>3120</v>
      </c>
      <c r="G767" s="8" t="s">
        <v>22</v>
      </c>
      <c r="H767" s="8" t="s">
        <v>3121</v>
      </c>
      <c r="I767" s="8" t="s">
        <v>641</v>
      </c>
      <c r="J767" s="8" t="s">
        <v>22</v>
      </c>
      <c r="K767" s="6"/>
      <c r="L767" s="7" t="s">
        <v>22</v>
      </c>
      <c r="M767" s="6" t="s">
        <v>248</v>
      </c>
      <c r="N767" s="8" t="s">
        <v>3122</v>
      </c>
      <c r="O767" s="6">
        <f>HYPERLINK("https://docs.wto.org/imrd/directdoc.asp?DDFDocuments/t/G/TBTN09/BRA344R1A2C1.DOCX", "https://docs.wto.org/imrd/directdoc.asp?DDFDocuments/t/G/TBTN09/BRA344R1A2C1.DOCX")</f>
      </c>
      <c r="P767" s="6">
        <f>HYPERLINK("https://docs.wto.org/imrd/directdoc.asp?DDFDocuments/u/G/TBTN09/BRA344R1A2C1.DOCX", "https://docs.wto.org/imrd/directdoc.asp?DDFDocuments/u/G/TBTN09/BRA344R1A2C1.DOCX")</f>
      </c>
      <c r="Q767" s="6">
        <f>HYPERLINK("https://docs.wto.org/imrd/directdoc.asp?DDFDocuments/v/G/TBTN09/BRA344R1A2C1.DOCX", "https://docs.wto.org/imrd/directdoc.asp?DDFDocuments/v/G/TBTN09/BRA344R1A2C1.DOCX")</f>
      </c>
    </row>
    <row r="768">
      <c r="A768" s="6" t="s">
        <v>68</v>
      </c>
      <c r="B768" s="7">
        <v>45607</v>
      </c>
      <c r="C768" s="9">
        <f>HYPERLINK("https://eping.wto.org/en/Search?viewData= G/TBT/N/BDI/530, G/TBT/N/KEN/1703, G/TBT/N/RWA/1097, G/TBT/N/TZA/1213, G/TBT/N/UGA/2042"," G/TBT/N/BDI/530, G/TBT/N/KEN/1703, G/TBT/N/RWA/1097, G/TBT/N/TZA/1213, G/TBT/N/UGA/2042")</f>
      </c>
      <c r="D768" s="8" t="s">
        <v>3097</v>
      </c>
      <c r="E768" s="8" t="s">
        <v>3098</v>
      </c>
      <c r="F768" s="8" t="s">
        <v>3099</v>
      </c>
      <c r="G768" s="8" t="s">
        <v>3100</v>
      </c>
      <c r="H768" s="8" t="s">
        <v>3101</v>
      </c>
      <c r="I768" s="8" t="s">
        <v>3102</v>
      </c>
      <c r="J768" s="8" t="s">
        <v>22</v>
      </c>
      <c r="K768" s="6"/>
      <c r="L768" s="7">
        <v>45667</v>
      </c>
      <c r="M768" s="6" t="s">
        <v>32</v>
      </c>
      <c r="N768" s="8" t="s">
        <v>3103</v>
      </c>
      <c r="O768" s="6">
        <f>HYPERLINK("https://docs.wto.org/imrd/directdoc.asp?DDFDocuments/t/G/TBTN24/BDI530.DOCX", "https://docs.wto.org/imrd/directdoc.asp?DDFDocuments/t/G/TBTN24/BDI530.DOCX")</f>
      </c>
      <c r="P768" s="6">
        <f>HYPERLINK("https://docs.wto.org/imrd/directdoc.asp?DDFDocuments/u/G/TBTN24/BDI530.DOCX", "https://docs.wto.org/imrd/directdoc.asp?DDFDocuments/u/G/TBTN24/BDI530.DOCX")</f>
      </c>
      <c r="Q768" s="6">
        <f>HYPERLINK("https://docs.wto.org/imrd/directdoc.asp?DDFDocuments/v/G/TBTN24/BDI530.DOCX", "https://docs.wto.org/imrd/directdoc.asp?DDFDocuments/v/G/TBTN24/BDI530.DOCX")</f>
      </c>
    </row>
    <row r="769">
      <c r="A769" s="6" t="s">
        <v>60</v>
      </c>
      <c r="B769" s="7">
        <v>45607</v>
      </c>
      <c r="C769" s="9">
        <f>HYPERLINK("https://eping.wto.org/en/Search?viewData= G/TBT/N/BDI/528, G/TBT/N/KEN/1701, G/TBT/N/RWA/1095, G/TBT/N/TZA/1211, G/TBT/N/UGA/2040"," G/TBT/N/BDI/528, G/TBT/N/KEN/1701, G/TBT/N/RWA/1095, G/TBT/N/TZA/1211, G/TBT/N/UGA/2040")</f>
      </c>
      <c r="D769" s="8" t="s">
        <v>3115</v>
      </c>
      <c r="E769" s="8" t="s">
        <v>3116</v>
      </c>
      <c r="F769" s="8" t="s">
        <v>3099</v>
      </c>
      <c r="G769" s="8" t="s">
        <v>3100</v>
      </c>
      <c r="H769" s="8" t="s">
        <v>3101</v>
      </c>
      <c r="I769" s="8" t="s">
        <v>2422</v>
      </c>
      <c r="J769" s="8" t="s">
        <v>22</v>
      </c>
      <c r="K769" s="6"/>
      <c r="L769" s="7">
        <v>45667</v>
      </c>
      <c r="M769" s="6" t="s">
        <v>32</v>
      </c>
      <c r="N769" s="8" t="s">
        <v>3117</v>
      </c>
      <c r="O769" s="6">
        <f>HYPERLINK("https://docs.wto.org/imrd/directdoc.asp?DDFDocuments/t/G/TBTN24/BDI528.DOCX", "https://docs.wto.org/imrd/directdoc.asp?DDFDocuments/t/G/TBTN24/BDI528.DOCX")</f>
      </c>
      <c r="P769" s="6">
        <f>HYPERLINK("https://docs.wto.org/imrd/directdoc.asp?DDFDocuments/u/G/TBTN24/BDI528.DOCX", "https://docs.wto.org/imrd/directdoc.asp?DDFDocuments/u/G/TBTN24/BDI528.DOCX")</f>
      </c>
      <c r="Q769" s="6">
        <f>HYPERLINK("https://docs.wto.org/imrd/directdoc.asp?DDFDocuments/v/G/TBTN24/BDI528.DOCX", "https://docs.wto.org/imrd/directdoc.asp?DDFDocuments/v/G/TBTN24/BDI528.DOCX")</f>
      </c>
    </row>
    <row r="770">
      <c r="A770" s="6" t="s">
        <v>26</v>
      </c>
      <c r="B770" s="7">
        <v>45607</v>
      </c>
      <c r="C770" s="9">
        <f>HYPERLINK("https://eping.wto.org/en/Search?viewData= G/TBT/N/BDI/531, G/TBT/N/KEN/1704, G/TBT/N/RWA/1098, G/TBT/N/TZA/1214, G/TBT/N/UGA/2043"," G/TBT/N/BDI/531, G/TBT/N/KEN/1704, G/TBT/N/RWA/1098, G/TBT/N/TZA/1214, G/TBT/N/UGA/2043")</f>
      </c>
      <c r="D770" s="8" t="s">
        <v>3123</v>
      </c>
      <c r="E770" s="8" t="s">
        <v>3124</v>
      </c>
      <c r="F770" s="8" t="s">
        <v>3099</v>
      </c>
      <c r="G770" s="8" t="s">
        <v>3100</v>
      </c>
      <c r="H770" s="8" t="s">
        <v>3101</v>
      </c>
      <c r="I770" s="8" t="s">
        <v>2422</v>
      </c>
      <c r="J770" s="8" t="s">
        <v>22</v>
      </c>
      <c r="K770" s="6"/>
      <c r="L770" s="7">
        <v>45667</v>
      </c>
      <c r="M770" s="6" t="s">
        <v>32</v>
      </c>
      <c r="N770" s="8" t="s">
        <v>3125</v>
      </c>
      <c r="O770" s="6">
        <f>HYPERLINK("https://docs.wto.org/imrd/directdoc.asp?DDFDocuments/t/G/TBTN24/BDI531.DOCX", "https://docs.wto.org/imrd/directdoc.asp?DDFDocuments/t/G/TBTN24/BDI531.DOCX")</f>
      </c>
      <c r="P770" s="6">
        <f>HYPERLINK("https://docs.wto.org/imrd/directdoc.asp?DDFDocuments/u/G/TBTN24/BDI531.DOCX", "https://docs.wto.org/imrd/directdoc.asp?DDFDocuments/u/G/TBTN24/BDI531.DOCX")</f>
      </c>
      <c r="Q770" s="6">
        <f>HYPERLINK("https://docs.wto.org/imrd/directdoc.asp?DDFDocuments/v/G/TBTN24/BDI531.DOCX", "https://docs.wto.org/imrd/directdoc.asp?DDFDocuments/v/G/TBTN24/BDI531.DOCX")</f>
      </c>
    </row>
    <row r="771">
      <c r="A771" s="6" t="s">
        <v>366</v>
      </c>
      <c r="B771" s="7">
        <v>45607</v>
      </c>
      <c r="C771" s="9">
        <f>HYPERLINK("https://eping.wto.org/en/Search?viewData= G/SPS/N/KAZ/155/Add.4"," G/SPS/N/KAZ/155/Add.4")</f>
      </c>
      <c r="D771" s="8" t="s">
        <v>3126</v>
      </c>
      <c r="E771" s="8" t="s">
        <v>3127</v>
      </c>
      <c r="F771" s="8" t="s">
        <v>3128</v>
      </c>
      <c r="G771" s="8" t="s">
        <v>3129</v>
      </c>
      <c r="H771" s="8" t="s">
        <v>22</v>
      </c>
      <c r="I771" s="8" t="s">
        <v>371</v>
      </c>
      <c r="J771" s="8" t="s">
        <v>3130</v>
      </c>
      <c r="K771" s="6"/>
      <c r="L771" s="7" t="s">
        <v>22</v>
      </c>
      <c r="M771" s="6" t="s">
        <v>24</v>
      </c>
      <c r="N771" s="6"/>
      <c r="O771" s="6">
        <f>HYPERLINK("https://docs.wto.org/imrd/directdoc.asp?DDFDocuments/t/G/SPS/NKAZ155A4.DOCX", "https://docs.wto.org/imrd/directdoc.asp?DDFDocuments/t/G/SPS/NKAZ155A4.DOCX")</f>
      </c>
      <c r="P771" s="6">
        <f>HYPERLINK("https://docs.wto.org/imrd/directdoc.asp?DDFDocuments/u/G/SPS/NKAZ155A4.DOCX", "https://docs.wto.org/imrd/directdoc.asp?DDFDocuments/u/G/SPS/NKAZ155A4.DOCX")</f>
      </c>
      <c r="Q771" s="6">
        <f>HYPERLINK("https://docs.wto.org/imrd/directdoc.asp?DDFDocuments/v/G/SPS/NKAZ155A4.DOCX", "https://docs.wto.org/imrd/directdoc.asp?DDFDocuments/v/G/SPS/NKAZ155A4.DOCX")</f>
      </c>
    </row>
    <row r="772">
      <c r="A772" s="6" t="s">
        <v>366</v>
      </c>
      <c r="B772" s="7">
        <v>45607</v>
      </c>
      <c r="C772" s="9">
        <f>HYPERLINK("https://eping.wto.org/en/Search?viewData= G/SPS/N/KAZ/179"," G/SPS/N/KAZ/179")</f>
      </c>
      <c r="D772" s="8" t="s">
        <v>3131</v>
      </c>
      <c r="E772" s="8" t="s">
        <v>3132</v>
      </c>
      <c r="F772" s="8" t="s">
        <v>369</v>
      </c>
      <c r="G772" s="8" t="s">
        <v>370</v>
      </c>
      <c r="H772" s="8" t="s">
        <v>22</v>
      </c>
      <c r="I772" s="8" t="s">
        <v>371</v>
      </c>
      <c r="J772" s="8" t="s">
        <v>1129</v>
      </c>
      <c r="K772" s="6" t="s">
        <v>3133</v>
      </c>
      <c r="L772" s="7" t="s">
        <v>22</v>
      </c>
      <c r="M772" s="6" t="s">
        <v>331</v>
      </c>
      <c r="N772" s="6"/>
      <c r="O772" s="6">
        <f>HYPERLINK("https://docs.wto.org/imrd/directdoc.asp?DDFDocuments/t/G/SPS/NKAZ179.DOCX", "https://docs.wto.org/imrd/directdoc.asp?DDFDocuments/t/G/SPS/NKAZ179.DOCX")</f>
      </c>
      <c r="P772" s="6">
        <f>HYPERLINK("https://docs.wto.org/imrd/directdoc.asp?DDFDocuments/u/G/SPS/NKAZ179.DOCX", "https://docs.wto.org/imrd/directdoc.asp?DDFDocuments/u/G/SPS/NKAZ179.DOCX")</f>
      </c>
      <c r="Q772" s="6">
        <f>HYPERLINK("https://docs.wto.org/imrd/directdoc.asp?DDFDocuments/v/G/SPS/NKAZ179.DOCX", "https://docs.wto.org/imrd/directdoc.asp?DDFDocuments/v/G/SPS/NKAZ179.DOCX")</f>
      </c>
    </row>
    <row r="773">
      <c r="A773" s="6" t="s">
        <v>366</v>
      </c>
      <c r="B773" s="7">
        <v>45607</v>
      </c>
      <c r="C773" s="9">
        <f>HYPERLINK("https://eping.wto.org/en/Search?viewData= G/SPS/N/KAZ/155/Add.2"," G/SPS/N/KAZ/155/Add.2")</f>
      </c>
      <c r="D773" s="8" t="s">
        <v>3134</v>
      </c>
      <c r="E773" s="8" t="s">
        <v>3127</v>
      </c>
      <c r="F773" s="8" t="s">
        <v>3128</v>
      </c>
      <c r="G773" s="8" t="s">
        <v>3135</v>
      </c>
      <c r="H773" s="8" t="s">
        <v>22</v>
      </c>
      <c r="I773" s="8" t="s">
        <v>371</v>
      </c>
      <c r="J773" s="8" t="s">
        <v>3130</v>
      </c>
      <c r="K773" s="6"/>
      <c r="L773" s="7" t="s">
        <v>22</v>
      </c>
      <c r="M773" s="6" t="s">
        <v>24</v>
      </c>
      <c r="N773" s="6"/>
      <c r="O773" s="6">
        <f>HYPERLINK("https://docs.wto.org/imrd/directdoc.asp?DDFDocuments/t/G/SPS/NKAZ155A2.DOCX", "https://docs.wto.org/imrd/directdoc.asp?DDFDocuments/t/G/SPS/NKAZ155A2.DOCX")</f>
      </c>
      <c r="P773" s="6">
        <f>HYPERLINK("https://docs.wto.org/imrd/directdoc.asp?DDFDocuments/u/G/SPS/NKAZ155A2.DOCX", "https://docs.wto.org/imrd/directdoc.asp?DDFDocuments/u/G/SPS/NKAZ155A2.DOCX")</f>
      </c>
      <c r="Q773" s="6">
        <f>HYPERLINK("https://docs.wto.org/imrd/directdoc.asp?DDFDocuments/v/G/SPS/NKAZ155A2.DOCX", "https://docs.wto.org/imrd/directdoc.asp?DDFDocuments/v/G/SPS/NKAZ155A2.DOCX")</f>
      </c>
    </row>
    <row r="774">
      <c r="A774" s="6" t="s">
        <v>400</v>
      </c>
      <c r="B774" s="7">
        <v>45607</v>
      </c>
      <c r="C774" s="9">
        <f>HYPERLINK("https://eping.wto.org/en/Search?viewData= G/TBT/N/USA/1762/Add.3"," G/TBT/N/USA/1762/Add.3")</f>
      </c>
      <c r="D774" s="8" t="s">
        <v>3136</v>
      </c>
      <c r="E774" s="8" t="s">
        <v>3137</v>
      </c>
      <c r="F774" s="8" t="s">
        <v>3138</v>
      </c>
      <c r="G774" s="8" t="s">
        <v>3139</v>
      </c>
      <c r="H774" s="8" t="s">
        <v>3140</v>
      </c>
      <c r="I774" s="8" t="s">
        <v>411</v>
      </c>
      <c r="J774" s="8" t="s">
        <v>22</v>
      </c>
      <c r="K774" s="6"/>
      <c r="L774" s="7" t="s">
        <v>22</v>
      </c>
      <c r="M774" s="6" t="s">
        <v>40</v>
      </c>
      <c r="N774" s="8" t="s">
        <v>3141</v>
      </c>
      <c r="O774" s="6">
        <f>HYPERLINK("https://docs.wto.org/imrd/directdoc.asp?DDFDocuments/t/G/TBTN21/USA1762A3.DOCX", "https://docs.wto.org/imrd/directdoc.asp?DDFDocuments/t/G/TBTN21/USA1762A3.DOCX")</f>
      </c>
      <c r="P774" s="6">
        <f>HYPERLINK("https://docs.wto.org/imrd/directdoc.asp?DDFDocuments/u/G/TBTN21/USA1762A3.DOCX", "https://docs.wto.org/imrd/directdoc.asp?DDFDocuments/u/G/TBTN21/USA1762A3.DOCX")</f>
      </c>
      <c r="Q774" s="6">
        <f>HYPERLINK("https://docs.wto.org/imrd/directdoc.asp?DDFDocuments/v/G/TBTN21/USA1762A3.DOCX", "https://docs.wto.org/imrd/directdoc.asp?DDFDocuments/v/G/TBTN21/USA1762A3.DOCX")</f>
      </c>
    </row>
    <row r="775">
      <c r="A775" s="6" t="s">
        <v>366</v>
      </c>
      <c r="B775" s="7">
        <v>45607</v>
      </c>
      <c r="C775" s="9">
        <f>HYPERLINK("https://eping.wto.org/en/Search?viewData= G/SPS/N/KAZ/155/Add.3"," G/SPS/N/KAZ/155/Add.3")</f>
      </c>
      <c r="D775" s="8" t="s">
        <v>3142</v>
      </c>
      <c r="E775" s="8" t="s">
        <v>3143</v>
      </c>
      <c r="F775" s="8" t="s">
        <v>3128</v>
      </c>
      <c r="G775" s="8" t="s">
        <v>3144</v>
      </c>
      <c r="H775" s="8" t="s">
        <v>22</v>
      </c>
      <c r="I775" s="8" t="s">
        <v>371</v>
      </c>
      <c r="J775" s="8" t="s">
        <v>3130</v>
      </c>
      <c r="K775" s="6"/>
      <c r="L775" s="7" t="s">
        <v>22</v>
      </c>
      <c r="M775" s="6" t="s">
        <v>24</v>
      </c>
      <c r="N775" s="6"/>
      <c r="O775" s="6">
        <f>HYPERLINK("https://docs.wto.org/imrd/directdoc.asp?DDFDocuments/t/G/SPS/NKAZ155A3.DOCX", "https://docs.wto.org/imrd/directdoc.asp?DDFDocuments/t/G/SPS/NKAZ155A3.DOCX")</f>
      </c>
      <c r="P775" s="6">
        <f>HYPERLINK("https://docs.wto.org/imrd/directdoc.asp?DDFDocuments/u/G/SPS/NKAZ155A3.DOCX", "https://docs.wto.org/imrd/directdoc.asp?DDFDocuments/u/G/SPS/NKAZ155A3.DOCX")</f>
      </c>
      <c r="Q775" s="6">
        <f>HYPERLINK("https://docs.wto.org/imrd/directdoc.asp?DDFDocuments/v/G/SPS/NKAZ155A3.DOCX", "https://docs.wto.org/imrd/directdoc.asp?DDFDocuments/v/G/SPS/NKAZ155A3.DOCX")</f>
      </c>
    </row>
    <row r="776">
      <c r="A776" s="6" t="s">
        <v>366</v>
      </c>
      <c r="B776" s="7">
        <v>45607</v>
      </c>
      <c r="C776" s="9">
        <f>HYPERLINK("https://eping.wto.org/en/Search?viewData= G/SPS/N/KAZ/176"," G/SPS/N/KAZ/176")</f>
      </c>
      <c r="D776" s="8" t="s">
        <v>3145</v>
      </c>
      <c r="E776" s="8" t="s">
        <v>3146</v>
      </c>
      <c r="F776" s="8" t="s">
        <v>3147</v>
      </c>
      <c r="G776" s="8" t="s">
        <v>466</v>
      </c>
      <c r="H776" s="8" t="s">
        <v>22</v>
      </c>
      <c r="I776" s="8" t="s">
        <v>371</v>
      </c>
      <c r="J776" s="8" t="s">
        <v>1129</v>
      </c>
      <c r="K776" s="6" t="s">
        <v>3148</v>
      </c>
      <c r="L776" s="7" t="s">
        <v>22</v>
      </c>
      <c r="M776" s="6" t="s">
        <v>331</v>
      </c>
      <c r="N776" s="6"/>
      <c r="O776" s="6">
        <f>HYPERLINK("https://docs.wto.org/imrd/directdoc.asp?DDFDocuments/t/G/SPS/NKAZ176.DOCX", "https://docs.wto.org/imrd/directdoc.asp?DDFDocuments/t/G/SPS/NKAZ176.DOCX")</f>
      </c>
      <c r="P776" s="6">
        <f>HYPERLINK("https://docs.wto.org/imrd/directdoc.asp?DDFDocuments/u/G/SPS/NKAZ176.DOCX", "https://docs.wto.org/imrd/directdoc.asp?DDFDocuments/u/G/SPS/NKAZ176.DOCX")</f>
      </c>
      <c r="Q776" s="6">
        <f>HYPERLINK("https://docs.wto.org/imrd/directdoc.asp?DDFDocuments/v/G/SPS/NKAZ176.DOCX", "https://docs.wto.org/imrd/directdoc.asp?DDFDocuments/v/G/SPS/NKAZ176.DOCX")</f>
      </c>
    </row>
    <row r="777">
      <c r="A777" s="6" t="s">
        <v>60</v>
      </c>
      <c r="B777" s="7">
        <v>45607</v>
      </c>
      <c r="C777" s="9">
        <f>HYPERLINK("https://eping.wto.org/en/Search?viewData= G/TBT/N/BDI/529, G/TBT/N/KEN/1702, G/TBT/N/RWA/1096, G/TBT/N/TZA/1212, G/TBT/N/UGA/2041"," G/TBT/N/BDI/529, G/TBT/N/KEN/1702, G/TBT/N/RWA/1096, G/TBT/N/TZA/1212, G/TBT/N/UGA/2041")</f>
      </c>
      <c r="D777" s="8" t="s">
        <v>3104</v>
      </c>
      <c r="E777" s="8" t="s">
        <v>3105</v>
      </c>
      <c r="F777" s="8" t="s">
        <v>3106</v>
      </c>
      <c r="G777" s="8" t="s">
        <v>3107</v>
      </c>
      <c r="H777" s="8" t="s">
        <v>3101</v>
      </c>
      <c r="I777" s="8" t="s">
        <v>3108</v>
      </c>
      <c r="J777" s="8" t="s">
        <v>22</v>
      </c>
      <c r="K777" s="6"/>
      <c r="L777" s="7">
        <v>45667</v>
      </c>
      <c r="M777" s="6" t="s">
        <v>32</v>
      </c>
      <c r="N777" s="8" t="s">
        <v>3109</v>
      </c>
      <c r="O777" s="6">
        <f>HYPERLINK("https://docs.wto.org/imrd/directdoc.asp?DDFDocuments/t/G/TBTN24/BDI529.DOCX", "https://docs.wto.org/imrd/directdoc.asp?DDFDocuments/t/G/TBTN24/BDI529.DOCX")</f>
      </c>
      <c r="P777" s="6">
        <f>HYPERLINK("https://docs.wto.org/imrd/directdoc.asp?DDFDocuments/u/G/TBTN24/BDI529.DOCX", "https://docs.wto.org/imrd/directdoc.asp?DDFDocuments/u/G/TBTN24/BDI529.DOCX")</f>
      </c>
      <c r="Q777" s="6">
        <f>HYPERLINK("https://docs.wto.org/imrd/directdoc.asp?DDFDocuments/v/G/TBTN24/BDI529.DOCX", "https://docs.wto.org/imrd/directdoc.asp?DDFDocuments/v/G/TBTN24/BDI529.DOCX")</f>
      </c>
    </row>
    <row r="778">
      <c r="A778" s="6" t="s">
        <v>60</v>
      </c>
      <c r="B778" s="7">
        <v>45607</v>
      </c>
      <c r="C778" s="9">
        <f>HYPERLINK("https://eping.wto.org/en/Search?viewData= G/TBT/N/BDI/530, G/TBT/N/KEN/1703, G/TBT/N/RWA/1097, G/TBT/N/TZA/1213, G/TBT/N/UGA/2042"," G/TBT/N/BDI/530, G/TBT/N/KEN/1703, G/TBT/N/RWA/1097, G/TBT/N/TZA/1213, G/TBT/N/UGA/2042")</f>
      </c>
      <c r="D778" s="8" t="s">
        <v>3097</v>
      </c>
      <c r="E778" s="8" t="s">
        <v>3098</v>
      </c>
      <c r="F778" s="8" t="s">
        <v>3099</v>
      </c>
      <c r="G778" s="8" t="s">
        <v>3100</v>
      </c>
      <c r="H778" s="8" t="s">
        <v>3101</v>
      </c>
      <c r="I778" s="8" t="s">
        <v>3102</v>
      </c>
      <c r="J778" s="8" t="s">
        <v>22</v>
      </c>
      <c r="K778" s="6"/>
      <c r="L778" s="7">
        <v>45667</v>
      </c>
      <c r="M778" s="6" t="s">
        <v>32</v>
      </c>
      <c r="N778" s="8" t="s">
        <v>3103</v>
      </c>
      <c r="O778" s="6">
        <f>HYPERLINK("https://docs.wto.org/imrd/directdoc.asp?DDFDocuments/t/G/TBTN24/BDI530.DOCX", "https://docs.wto.org/imrd/directdoc.asp?DDFDocuments/t/G/TBTN24/BDI530.DOCX")</f>
      </c>
      <c r="P778" s="6">
        <f>HYPERLINK("https://docs.wto.org/imrd/directdoc.asp?DDFDocuments/u/G/TBTN24/BDI530.DOCX", "https://docs.wto.org/imrd/directdoc.asp?DDFDocuments/u/G/TBTN24/BDI530.DOCX")</f>
      </c>
      <c r="Q778" s="6">
        <f>HYPERLINK("https://docs.wto.org/imrd/directdoc.asp?DDFDocuments/v/G/TBTN24/BDI530.DOCX", "https://docs.wto.org/imrd/directdoc.asp?DDFDocuments/v/G/TBTN24/BDI530.DOCX")</f>
      </c>
    </row>
    <row r="779">
      <c r="A779" s="6" t="s">
        <v>49</v>
      </c>
      <c r="B779" s="7">
        <v>45607</v>
      </c>
      <c r="C779" s="9">
        <f>HYPERLINK("https://eping.wto.org/en/Search?viewData= G/TBT/N/BDI/532, G/TBT/N/KEN/1705, G/TBT/N/RWA/1099, G/TBT/N/TZA/1215, G/TBT/N/UGA/2044"," G/TBT/N/BDI/532, G/TBT/N/KEN/1705, G/TBT/N/RWA/1099, G/TBT/N/TZA/1215, G/TBT/N/UGA/2044")</f>
      </c>
      <c r="D779" s="8" t="s">
        <v>3110</v>
      </c>
      <c r="E779" s="8" t="s">
        <v>3111</v>
      </c>
      <c r="F779" s="8" t="s">
        <v>3112</v>
      </c>
      <c r="G779" s="8" t="s">
        <v>3113</v>
      </c>
      <c r="H779" s="8" t="s">
        <v>3101</v>
      </c>
      <c r="I779" s="8" t="s">
        <v>3102</v>
      </c>
      <c r="J779" s="8" t="s">
        <v>22</v>
      </c>
      <c r="K779" s="6"/>
      <c r="L779" s="7">
        <v>45667</v>
      </c>
      <c r="M779" s="6" t="s">
        <v>32</v>
      </c>
      <c r="N779" s="8" t="s">
        <v>3114</v>
      </c>
      <c r="O779" s="6">
        <f>HYPERLINK("https://docs.wto.org/imrd/directdoc.asp?DDFDocuments/t/G/TBTN24/BDI532.DOCX", "https://docs.wto.org/imrd/directdoc.asp?DDFDocuments/t/G/TBTN24/BDI532.DOCX")</f>
      </c>
      <c r="P779" s="6">
        <f>HYPERLINK("https://docs.wto.org/imrd/directdoc.asp?DDFDocuments/u/G/TBTN24/BDI532.DOCX", "https://docs.wto.org/imrd/directdoc.asp?DDFDocuments/u/G/TBTN24/BDI532.DOCX")</f>
      </c>
      <c r="Q779" s="6">
        <f>HYPERLINK("https://docs.wto.org/imrd/directdoc.asp?DDFDocuments/v/G/TBTN24/BDI532.DOCX", "https://docs.wto.org/imrd/directdoc.asp?DDFDocuments/v/G/TBTN24/BDI532.DOCX")</f>
      </c>
    </row>
    <row r="780">
      <c r="A780" s="6" t="s">
        <v>3149</v>
      </c>
      <c r="B780" s="7">
        <v>45607</v>
      </c>
      <c r="C780" s="9">
        <f>HYPERLINK("https://eping.wto.org/en/Search?viewData= G/TBT/N/BGD/7"," G/TBT/N/BGD/7")</f>
      </c>
      <c r="D780" s="8" t="s">
        <v>3150</v>
      </c>
      <c r="E780" s="8" t="s">
        <v>3151</v>
      </c>
      <c r="F780" s="8" t="s">
        <v>3152</v>
      </c>
      <c r="G780" s="8" t="s">
        <v>3153</v>
      </c>
      <c r="H780" s="8" t="s">
        <v>115</v>
      </c>
      <c r="I780" s="8" t="s">
        <v>138</v>
      </c>
      <c r="J780" s="8" t="s">
        <v>58</v>
      </c>
      <c r="K780" s="6"/>
      <c r="L780" s="7">
        <v>45631</v>
      </c>
      <c r="M780" s="6" t="s">
        <v>32</v>
      </c>
      <c r="N780" s="6"/>
      <c r="O780" s="6">
        <f>HYPERLINK("https://docs.wto.org/imrd/directdoc.asp?DDFDocuments/t/G/TBTN24/BGD7.DOCX", "https://docs.wto.org/imrd/directdoc.asp?DDFDocuments/t/G/TBTN24/BGD7.DOCX")</f>
      </c>
      <c r="P780" s="6">
        <f>HYPERLINK("https://docs.wto.org/imrd/directdoc.asp?DDFDocuments/u/G/TBTN24/BGD7.DOCX", "https://docs.wto.org/imrd/directdoc.asp?DDFDocuments/u/G/TBTN24/BGD7.DOCX")</f>
      </c>
      <c r="Q780" s="6">
        <f>HYPERLINK("https://docs.wto.org/imrd/directdoc.asp?DDFDocuments/v/G/TBTN24/BGD7.DOCX", "https://docs.wto.org/imrd/directdoc.asp?DDFDocuments/v/G/TBTN24/BGD7.DOCX")</f>
      </c>
    </row>
    <row r="781">
      <c r="A781" s="6" t="s">
        <v>26</v>
      </c>
      <c r="B781" s="7">
        <v>45607</v>
      </c>
      <c r="C781" s="9">
        <f>HYPERLINK("https://eping.wto.org/en/Search?viewData= G/TBT/N/BDI/529, G/TBT/N/KEN/1702, G/TBT/N/RWA/1096, G/TBT/N/TZA/1212, G/TBT/N/UGA/2041"," G/TBT/N/BDI/529, G/TBT/N/KEN/1702, G/TBT/N/RWA/1096, G/TBT/N/TZA/1212, G/TBT/N/UGA/2041")</f>
      </c>
      <c r="D781" s="8" t="s">
        <v>3104</v>
      </c>
      <c r="E781" s="8" t="s">
        <v>3105</v>
      </c>
      <c r="F781" s="8" t="s">
        <v>3106</v>
      </c>
      <c r="G781" s="8" t="s">
        <v>3107</v>
      </c>
      <c r="H781" s="8" t="s">
        <v>3101</v>
      </c>
      <c r="I781" s="8" t="s">
        <v>3108</v>
      </c>
      <c r="J781" s="8" t="s">
        <v>22</v>
      </c>
      <c r="K781" s="6"/>
      <c r="L781" s="7">
        <v>45667</v>
      </c>
      <c r="M781" s="6" t="s">
        <v>32</v>
      </c>
      <c r="N781" s="8" t="s">
        <v>3109</v>
      </c>
      <c r="O781" s="6">
        <f>HYPERLINK("https://docs.wto.org/imrd/directdoc.asp?DDFDocuments/t/G/TBTN24/BDI529.DOCX", "https://docs.wto.org/imrd/directdoc.asp?DDFDocuments/t/G/TBTN24/BDI529.DOCX")</f>
      </c>
      <c r="P781" s="6">
        <f>HYPERLINK("https://docs.wto.org/imrd/directdoc.asp?DDFDocuments/u/G/TBTN24/BDI529.DOCX", "https://docs.wto.org/imrd/directdoc.asp?DDFDocuments/u/G/TBTN24/BDI529.DOCX")</f>
      </c>
      <c r="Q781" s="6">
        <f>HYPERLINK("https://docs.wto.org/imrd/directdoc.asp?DDFDocuments/v/G/TBTN24/BDI529.DOCX", "https://docs.wto.org/imrd/directdoc.asp?DDFDocuments/v/G/TBTN24/BDI529.DOCX")</f>
      </c>
    </row>
    <row r="782">
      <c r="A782" s="6" t="s">
        <v>68</v>
      </c>
      <c r="B782" s="7">
        <v>45607</v>
      </c>
      <c r="C782" s="9">
        <f>HYPERLINK("https://eping.wto.org/en/Search?viewData= G/TBT/N/BDI/531, G/TBT/N/KEN/1704, G/TBT/N/RWA/1098, G/TBT/N/TZA/1214, G/TBT/N/UGA/2043"," G/TBT/N/BDI/531, G/TBT/N/KEN/1704, G/TBT/N/RWA/1098, G/TBT/N/TZA/1214, G/TBT/N/UGA/2043")</f>
      </c>
      <c r="D782" s="8" t="s">
        <v>3123</v>
      </c>
      <c r="E782" s="8" t="s">
        <v>3124</v>
      </c>
      <c r="F782" s="8" t="s">
        <v>3099</v>
      </c>
      <c r="G782" s="8" t="s">
        <v>3100</v>
      </c>
      <c r="H782" s="8" t="s">
        <v>3101</v>
      </c>
      <c r="I782" s="8" t="s">
        <v>2422</v>
      </c>
      <c r="J782" s="8" t="s">
        <v>22</v>
      </c>
      <c r="K782" s="6"/>
      <c r="L782" s="7">
        <v>45667</v>
      </c>
      <c r="M782" s="6" t="s">
        <v>32</v>
      </c>
      <c r="N782" s="8" t="s">
        <v>3125</v>
      </c>
      <c r="O782" s="6">
        <f>HYPERLINK("https://docs.wto.org/imrd/directdoc.asp?DDFDocuments/t/G/TBTN24/BDI531.DOCX", "https://docs.wto.org/imrd/directdoc.asp?DDFDocuments/t/G/TBTN24/BDI531.DOCX")</f>
      </c>
      <c r="P782" s="6">
        <f>HYPERLINK("https://docs.wto.org/imrd/directdoc.asp?DDFDocuments/u/G/TBTN24/BDI531.DOCX", "https://docs.wto.org/imrd/directdoc.asp?DDFDocuments/u/G/TBTN24/BDI531.DOCX")</f>
      </c>
      <c r="Q782" s="6">
        <f>HYPERLINK("https://docs.wto.org/imrd/directdoc.asp?DDFDocuments/v/G/TBTN24/BDI531.DOCX", "https://docs.wto.org/imrd/directdoc.asp?DDFDocuments/v/G/TBTN24/BDI531.DOCX")</f>
      </c>
    </row>
    <row r="783">
      <c r="A783" s="6" t="s">
        <v>49</v>
      </c>
      <c r="B783" s="7">
        <v>45607</v>
      </c>
      <c r="C783" s="9">
        <f>HYPERLINK("https://eping.wto.org/en/Search?viewData= G/TBT/N/BDI/529, G/TBT/N/KEN/1702, G/TBT/N/RWA/1096, G/TBT/N/TZA/1212, G/TBT/N/UGA/2041"," G/TBT/N/BDI/529, G/TBT/N/KEN/1702, G/TBT/N/RWA/1096, G/TBT/N/TZA/1212, G/TBT/N/UGA/2041")</f>
      </c>
      <c r="D783" s="8" t="s">
        <v>3104</v>
      </c>
      <c r="E783" s="8" t="s">
        <v>3105</v>
      </c>
      <c r="F783" s="8" t="s">
        <v>3106</v>
      </c>
      <c r="G783" s="8" t="s">
        <v>3107</v>
      </c>
      <c r="H783" s="8" t="s">
        <v>3101</v>
      </c>
      <c r="I783" s="8" t="s">
        <v>3108</v>
      </c>
      <c r="J783" s="8" t="s">
        <v>22</v>
      </c>
      <c r="K783" s="6"/>
      <c r="L783" s="7">
        <v>45667</v>
      </c>
      <c r="M783" s="6" t="s">
        <v>32</v>
      </c>
      <c r="N783" s="8" t="s">
        <v>3109</v>
      </c>
      <c r="O783" s="6">
        <f>HYPERLINK("https://docs.wto.org/imrd/directdoc.asp?DDFDocuments/t/G/TBTN24/BDI529.DOCX", "https://docs.wto.org/imrd/directdoc.asp?DDFDocuments/t/G/TBTN24/BDI529.DOCX")</f>
      </c>
      <c r="P783" s="6">
        <f>HYPERLINK("https://docs.wto.org/imrd/directdoc.asp?DDFDocuments/u/G/TBTN24/BDI529.DOCX", "https://docs.wto.org/imrd/directdoc.asp?DDFDocuments/u/G/TBTN24/BDI529.DOCX")</f>
      </c>
      <c r="Q783" s="6">
        <f>HYPERLINK("https://docs.wto.org/imrd/directdoc.asp?DDFDocuments/v/G/TBTN24/BDI529.DOCX", "https://docs.wto.org/imrd/directdoc.asp?DDFDocuments/v/G/TBTN24/BDI529.DOCX")</f>
      </c>
    </row>
    <row r="784">
      <c r="A784" s="6" t="s">
        <v>49</v>
      </c>
      <c r="B784" s="7">
        <v>45607</v>
      </c>
      <c r="C784" s="9">
        <f>HYPERLINK("https://eping.wto.org/en/Search?viewData= G/TBT/N/BDI/530, G/TBT/N/KEN/1703, G/TBT/N/RWA/1097, G/TBT/N/TZA/1213, G/TBT/N/UGA/2042"," G/TBT/N/BDI/530, G/TBT/N/KEN/1703, G/TBT/N/RWA/1097, G/TBT/N/TZA/1213, G/TBT/N/UGA/2042")</f>
      </c>
      <c r="D784" s="8" t="s">
        <v>3097</v>
      </c>
      <c r="E784" s="8" t="s">
        <v>3098</v>
      </c>
      <c r="F784" s="8" t="s">
        <v>3099</v>
      </c>
      <c r="G784" s="8" t="s">
        <v>3100</v>
      </c>
      <c r="H784" s="8" t="s">
        <v>3101</v>
      </c>
      <c r="I784" s="8" t="s">
        <v>3102</v>
      </c>
      <c r="J784" s="8" t="s">
        <v>22</v>
      </c>
      <c r="K784" s="6"/>
      <c r="L784" s="7">
        <v>45667</v>
      </c>
      <c r="M784" s="6" t="s">
        <v>32</v>
      </c>
      <c r="N784" s="8" t="s">
        <v>3103</v>
      </c>
      <c r="O784" s="6">
        <f>HYPERLINK("https://docs.wto.org/imrd/directdoc.asp?DDFDocuments/t/G/TBTN24/BDI530.DOCX", "https://docs.wto.org/imrd/directdoc.asp?DDFDocuments/t/G/TBTN24/BDI530.DOCX")</f>
      </c>
      <c r="P784" s="6">
        <f>HYPERLINK("https://docs.wto.org/imrd/directdoc.asp?DDFDocuments/u/G/TBTN24/BDI530.DOCX", "https://docs.wto.org/imrd/directdoc.asp?DDFDocuments/u/G/TBTN24/BDI530.DOCX")</f>
      </c>
      <c r="Q784" s="6">
        <f>HYPERLINK("https://docs.wto.org/imrd/directdoc.asp?DDFDocuments/v/G/TBTN24/BDI530.DOCX", "https://docs.wto.org/imrd/directdoc.asp?DDFDocuments/v/G/TBTN24/BDI530.DOCX")</f>
      </c>
    </row>
    <row r="785">
      <c r="A785" s="6" t="s">
        <v>26</v>
      </c>
      <c r="B785" s="7">
        <v>45607</v>
      </c>
      <c r="C785" s="9">
        <f>HYPERLINK("https://eping.wto.org/en/Search?viewData= G/TBT/N/BDI/528, G/TBT/N/KEN/1701, G/TBT/N/RWA/1095, G/TBT/N/TZA/1211, G/TBT/N/UGA/2040"," G/TBT/N/BDI/528, G/TBT/N/KEN/1701, G/TBT/N/RWA/1095, G/TBT/N/TZA/1211, G/TBT/N/UGA/2040")</f>
      </c>
      <c r="D785" s="8" t="s">
        <v>3115</v>
      </c>
      <c r="E785" s="8" t="s">
        <v>3116</v>
      </c>
      <c r="F785" s="8" t="s">
        <v>3099</v>
      </c>
      <c r="G785" s="8" t="s">
        <v>3100</v>
      </c>
      <c r="H785" s="8" t="s">
        <v>3101</v>
      </c>
      <c r="I785" s="8" t="s">
        <v>2422</v>
      </c>
      <c r="J785" s="8" t="s">
        <v>22</v>
      </c>
      <c r="K785" s="6"/>
      <c r="L785" s="7">
        <v>45667</v>
      </c>
      <c r="M785" s="6" t="s">
        <v>32</v>
      </c>
      <c r="N785" s="8" t="s">
        <v>3117</v>
      </c>
      <c r="O785" s="6">
        <f>HYPERLINK("https://docs.wto.org/imrd/directdoc.asp?DDFDocuments/t/G/TBTN24/BDI528.DOCX", "https://docs.wto.org/imrd/directdoc.asp?DDFDocuments/t/G/TBTN24/BDI528.DOCX")</f>
      </c>
      <c r="P785" s="6">
        <f>HYPERLINK("https://docs.wto.org/imrd/directdoc.asp?DDFDocuments/u/G/TBTN24/BDI528.DOCX", "https://docs.wto.org/imrd/directdoc.asp?DDFDocuments/u/G/TBTN24/BDI528.DOCX")</f>
      </c>
      <c r="Q785" s="6">
        <f>HYPERLINK("https://docs.wto.org/imrd/directdoc.asp?DDFDocuments/v/G/TBTN24/BDI528.DOCX", "https://docs.wto.org/imrd/directdoc.asp?DDFDocuments/v/G/TBTN24/BDI528.DOCX")</f>
      </c>
    </row>
    <row r="786">
      <c r="A786" s="6" t="s">
        <v>366</v>
      </c>
      <c r="B786" s="7">
        <v>45607</v>
      </c>
      <c r="C786" s="9">
        <f>HYPERLINK("https://eping.wto.org/en/Search?viewData= G/SPS/N/KAZ/177"," G/SPS/N/KAZ/177")</f>
      </c>
      <c r="D786" s="8" t="s">
        <v>3154</v>
      </c>
      <c r="E786" s="8" t="s">
        <v>3155</v>
      </c>
      <c r="F786" s="8" t="s">
        <v>3156</v>
      </c>
      <c r="G786" s="8" t="s">
        <v>3157</v>
      </c>
      <c r="H786" s="8" t="s">
        <v>22</v>
      </c>
      <c r="I786" s="8" t="s">
        <v>371</v>
      </c>
      <c r="J786" s="8" t="s">
        <v>1129</v>
      </c>
      <c r="K786" s="6" t="s">
        <v>3158</v>
      </c>
      <c r="L786" s="7" t="s">
        <v>22</v>
      </c>
      <c r="M786" s="6" t="s">
        <v>331</v>
      </c>
      <c r="N786" s="6"/>
      <c r="O786" s="6">
        <f>HYPERLINK("https://docs.wto.org/imrd/directdoc.asp?DDFDocuments/t/G/SPS/NKAZ177.DOCX", "https://docs.wto.org/imrd/directdoc.asp?DDFDocuments/t/G/SPS/NKAZ177.DOCX")</f>
      </c>
      <c r="P786" s="6">
        <f>HYPERLINK("https://docs.wto.org/imrd/directdoc.asp?DDFDocuments/u/G/SPS/NKAZ177.DOCX", "https://docs.wto.org/imrd/directdoc.asp?DDFDocuments/u/G/SPS/NKAZ177.DOCX")</f>
      </c>
      <c r="Q786" s="6">
        <f>HYPERLINK("https://docs.wto.org/imrd/directdoc.asp?DDFDocuments/v/G/SPS/NKAZ177.DOCX", "https://docs.wto.org/imrd/directdoc.asp?DDFDocuments/v/G/SPS/NKAZ177.DOCX")</f>
      </c>
    </row>
    <row r="787">
      <c r="A787" s="6" t="s">
        <v>366</v>
      </c>
      <c r="B787" s="7">
        <v>45607</v>
      </c>
      <c r="C787" s="9">
        <f>HYPERLINK("https://eping.wto.org/en/Search?viewData= G/SPS/N/KAZ/178"," G/SPS/N/KAZ/178")</f>
      </c>
      <c r="D787" s="8" t="s">
        <v>3159</v>
      </c>
      <c r="E787" s="8" t="s">
        <v>3160</v>
      </c>
      <c r="F787" s="8" t="s">
        <v>369</v>
      </c>
      <c r="G787" s="8" t="s">
        <v>466</v>
      </c>
      <c r="H787" s="8" t="s">
        <v>22</v>
      </c>
      <c r="I787" s="8" t="s">
        <v>371</v>
      </c>
      <c r="J787" s="8" t="s">
        <v>1129</v>
      </c>
      <c r="K787" s="6" t="s">
        <v>3161</v>
      </c>
      <c r="L787" s="7" t="s">
        <v>22</v>
      </c>
      <c r="M787" s="6" t="s">
        <v>331</v>
      </c>
      <c r="N787" s="6"/>
      <c r="O787" s="6">
        <f>HYPERLINK("https://docs.wto.org/imrd/directdoc.asp?DDFDocuments/t/G/SPS/NKAZ178.DOCX", "https://docs.wto.org/imrd/directdoc.asp?DDFDocuments/t/G/SPS/NKAZ178.DOCX")</f>
      </c>
      <c r="P787" s="6">
        <f>HYPERLINK("https://docs.wto.org/imrd/directdoc.asp?DDFDocuments/u/G/SPS/NKAZ178.DOCX", "https://docs.wto.org/imrd/directdoc.asp?DDFDocuments/u/G/SPS/NKAZ178.DOCX")</f>
      </c>
      <c r="Q787" s="6">
        <f>HYPERLINK("https://docs.wto.org/imrd/directdoc.asp?DDFDocuments/v/G/SPS/NKAZ178.DOCX", "https://docs.wto.org/imrd/directdoc.asp?DDFDocuments/v/G/SPS/NKAZ178.DOCX")</f>
      </c>
    </row>
    <row r="788">
      <c r="A788" s="6" t="s">
        <v>49</v>
      </c>
      <c r="B788" s="7">
        <v>45607</v>
      </c>
      <c r="C788" s="9">
        <f>HYPERLINK("https://eping.wto.org/en/Search?viewData= G/TBT/N/BDI/531, G/TBT/N/KEN/1704, G/TBT/N/RWA/1098, G/TBT/N/TZA/1214, G/TBT/N/UGA/2043"," G/TBT/N/BDI/531, G/TBT/N/KEN/1704, G/TBT/N/RWA/1098, G/TBT/N/TZA/1214, G/TBT/N/UGA/2043")</f>
      </c>
      <c r="D788" s="8" t="s">
        <v>3123</v>
      </c>
      <c r="E788" s="8" t="s">
        <v>3124</v>
      </c>
      <c r="F788" s="8" t="s">
        <v>3099</v>
      </c>
      <c r="G788" s="8" t="s">
        <v>3100</v>
      </c>
      <c r="H788" s="8" t="s">
        <v>3101</v>
      </c>
      <c r="I788" s="8" t="s">
        <v>2422</v>
      </c>
      <c r="J788" s="8" t="s">
        <v>22</v>
      </c>
      <c r="K788" s="6"/>
      <c r="L788" s="7">
        <v>45667</v>
      </c>
      <c r="M788" s="6" t="s">
        <v>32</v>
      </c>
      <c r="N788" s="8" t="s">
        <v>3125</v>
      </c>
      <c r="O788" s="6">
        <f>HYPERLINK("https://docs.wto.org/imrd/directdoc.asp?DDFDocuments/t/G/TBTN24/BDI531.DOCX", "https://docs.wto.org/imrd/directdoc.asp?DDFDocuments/t/G/TBTN24/BDI531.DOCX")</f>
      </c>
      <c r="P788" s="6">
        <f>HYPERLINK("https://docs.wto.org/imrd/directdoc.asp?DDFDocuments/u/G/TBTN24/BDI531.DOCX", "https://docs.wto.org/imrd/directdoc.asp?DDFDocuments/u/G/TBTN24/BDI531.DOCX")</f>
      </c>
      <c r="Q788" s="6">
        <f>HYPERLINK("https://docs.wto.org/imrd/directdoc.asp?DDFDocuments/v/G/TBTN24/BDI531.DOCX", "https://docs.wto.org/imrd/directdoc.asp?DDFDocuments/v/G/TBTN24/BDI531.DOCX")</f>
      </c>
    </row>
    <row r="789">
      <c r="A789" s="6" t="s">
        <v>53</v>
      </c>
      <c r="B789" s="7">
        <v>45607</v>
      </c>
      <c r="C789" s="9">
        <f>HYPERLINK("https://eping.wto.org/en/Search?viewData= G/TBT/N/BDI/531, G/TBT/N/KEN/1704, G/TBT/N/RWA/1098, G/TBT/N/TZA/1214, G/TBT/N/UGA/2043"," G/TBT/N/BDI/531, G/TBT/N/KEN/1704, G/TBT/N/RWA/1098, G/TBT/N/TZA/1214, G/TBT/N/UGA/2043")</f>
      </c>
      <c r="D789" s="8" t="s">
        <v>3123</v>
      </c>
      <c r="E789" s="8" t="s">
        <v>3124</v>
      </c>
      <c r="F789" s="8" t="s">
        <v>3099</v>
      </c>
      <c r="G789" s="8" t="s">
        <v>3100</v>
      </c>
      <c r="H789" s="8" t="s">
        <v>3101</v>
      </c>
      <c r="I789" s="8" t="s">
        <v>2422</v>
      </c>
      <c r="J789" s="8" t="s">
        <v>22</v>
      </c>
      <c r="K789" s="6"/>
      <c r="L789" s="7">
        <v>45667</v>
      </c>
      <c r="M789" s="6" t="s">
        <v>32</v>
      </c>
      <c r="N789" s="8" t="s">
        <v>3125</v>
      </c>
      <c r="O789" s="6">
        <f>HYPERLINK("https://docs.wto.org/imrd/directdoc.asp?DDFDocuments/t/G/TBTN24/BDI531.DOCX", "https://docs.wto.org/imrd/directdoc.asp?DDFDocuments/t/G/TBTN24/BDI531.DOCX")</f>
      </c>
      <c r="P789" s="6">
        <f>HYPERLINK("https://docs.wto.org/imrd/directdoc.asp?DDFDocuments/u/G/TBTN24/BDI531.DOCX", "https://docs.wto.org/imrd/directdoc.asp?DDFDocuments/u/G/TBTN24/BDI531.DOCX")</f>
      </c>
      <c r="Q789" s="6">
        <f>HYPERLINK("https://docs.wto.org/imrd/directdoc.asp?DDFDocuments/v/G/TBTN24/BDI531.DOCX", "https://docs.wto.org/imrd/directdoc.asp?DDFDocuments/v/G/TBTN24/BDI531.DOCX")</f>
      </c>
    </row>
    <row r="790">
      <c r="A790" s="6" t="s">
        <v>68</v>
      </c>
      <c r="B790" s="7">
        <v>45607</v>
      </c>
      <c r="C790" s="9">
        <f>HYPERLINK("https://eping.wto.org/en/Search?viewData= G/TBT/N/BDI/529, G/TBT/N/KEN/1702, G/TBT/N/RWA/1096, G/TBT/N/TZA/1212, G/TBT/N/UGA/2041"," G/TBT/N/BDI/529, G/TBT/N/KEN/1702, G/TBT/N/RWA/1096, G/TBT/N/TZA/1212, G/TBT/N/UGA/2041")</f>
      </c>
      <c r="D790" s="8" t="s">
        <v>3104</v>
      </c>
      <c r="E790" s="8" t="s">
        <v>3105</v>
      </c>
      <c r="F790" s="8" t="s">
        <v>3106</v>
      </c>
      <c r="G790" s="8" t="s">
        <v>3107</v>
      </c>
      <c r="H790" s="8" t="s">
        <v>3101</v>
      </c>
      <c r="I790" s="8" t="s">
        <v>3108</v>
      </c>
      <c r="J790" s="8" t="s">
        <v>22</v>
      </c>
      <c r="K790" s="6"/>
      <c r="L790" s="7">
        <v>45667</v>
      </c>
      <c r="M790" s="6" t="s">
        <v>32</v>
      </c>
      <c r="N790" s="8" t="s">
        <v>3109</v>
      </c>
      <c r="O790" s="6">
        <f>HYPERLINK("https://docs.wto.org/imrd/directdoc.asp?DDFDocuments/t/G/TBTN24/BDI529.DOCX", "https://docs.wto.org/imrd/directdoc.asp?DDFDocuments/t/G/TBTN24/BDI529.DOCX")</f>
      </c>
      <c r="P790" s="6">
        <f>HYPERLINK("https://docs.wto.org/imrd/directdoc.asp?DDFDocuments/u/G/TBTN24/BDI529.DOCX", "https://docs.wto.org/imrd/directdoc.asp?DDFDocuments/u/G/TBTN24/BDI529.DOCX")</f>
      </c>
      <c r="Q790" s="6">
        <f>HYPERLINK("https://docs.wto.org/imrd/directdoc.asp?DDFDocuments/v/G/TBTN24/BDI529.DOCX", "https://docs.wto.org/imrd/directdoc.asp?DDFDocuments/v/G/TBTN24/BDI529.DOCX")</f>
      </c>
    </row>
    <row r="791">
      <c r="A791" s="6" t="s">
        <v>68</v>
      </c>
      <c r="B791" s="7">
        <v>45607</v>
      </c>
      <c r="C791" s="9">
        <f>HYPERLINK("https://eping.wto.org/en/Search?viewData= G/TBT/N/BDI/528, G/TBT/N/KEN/1701, G/TBT/N/RWA/1095, G/TBT/N/TZA/1211, G/TBT/N/UGA/2040"," G/TBT/N/BDI/528, G/TBT/N/KEN/1701, G/TBT/N/RWA/1095, G/TBT/N/TZA/1211, G/TBT/N/UGA/2040")</f>
      </c>
      <c r="D791" s="8" t="s">
        <v>3115</v>
      </c>
      <c r="E791" s="8" t="s">
        <v>3116</v>
      </c>
      <c r="F791" s="8" t="s">
        <v>3099</v>
      </c>
      <c r="G791" s="8" t="s">
        <v>3100</v>
      </c>
      <c r="H791" s="8" t="s">
        <v>3101</v>
      </c>
      <c r="I791" s="8" t="s">
        <v>2422</v>
      </c>
      <c r="J791" s="8" t="s">
        <v>22</v>
      </c>
      <c r="K791" s="6"/>
      <c r="L791" s="7">
        <v>45667</v>
      </c>
      <c r="M791" s="6" t="s">
        <v>32</v>
      </c>
      <c r="N791" s="8" t="s">
        <v>3117</v>
      </c>
      <c r="O791" s="6">
        <f>HYPERLINK("https://docs.wto.org/imrd/directdoc.asp?DDFDocuments/t/G/TBTN24/BDI528.DOCX", "https://docs.wto.org/imrd/directdoc.asp?DDFDocuments/t/G/TBTN24/BDI528.DOCX")</f>
      </c>
      <c r="P791" s="6">
        <f>HYPERLINK("https://docs.wto.org/imrd/directdoc.asp?DDFDocuments/u/G/TBTN24/BDI528.DOCX", "https://docs.wto.org/imrd/directdoc.asp?DDFDocuments/u/G/TBTN24/BDI528.DOCX")</f>
      </c>
      <c r="Q791" s="6">
        <f>HYPERLINK("https://docs.wto.org/imrd/directdoc.asp?DDFDocuments/v/G/TBTN24/BDI528.DOCX", "https://docs.wto.org/imrd/directdoc.asp?DDFDocuments/v/G/TBTN24/BDI528.DOCX")</f>
      </c>
    </row>
    <row r="792">
      <c r="A792" s="6" t="s">
        <v>82</v>
      </c>
      <c r="B792" s="7">
        <v>45607</v>
      </c>
      <c r="C792" s="9">
        <f>HYPERLINK("https://eping.wto.org/en/Search?viewData= G/TBT/N/BRA/1403/Add.1"," G/TBT/N/BRA/1403/Add.1")</f>
      </c>
      <c r="D792" s="8" t="s">
        <v>3162</v>
      </c>
      <c r="E792" s="8" t="s">
        <v>3163</v>
      </c>
      <c r="F792" s="8" t="s">
        <v>3164</v>
      </c>
      <c r="G792" s="8" t="s">
        <v>3165</v>
      </c>
      <c r="H792" s="8" t="s">
        <v>3166</v>
      </c>
      <c r="I792" s="8" t="s">
        <v>203</v>
      </c>
      <c r="J792" s="8" t="s">
        <v>22</v>
      </c>
      <c r="K792" s="6"/>
      <c r="L792" s="7" t="s">
        <v>22</v>
      </c>
      <c r="M792" s="6" t="s">
        <v>40</v>
      </c>
      <c r="N792" s="8" t="s">
        <v>3167</v>
      </c>
      <c r="O792" s="6">
        <f>HYPERLINK("https://docs.wto.org/imrd/directdoc.asp?DDFDocuments/t/G/TBTN22/BRA1403A1.DOCX", "https://docs.wto.org/imrd/directdoc.asp?DDFDocuments/t/G/TBTN22/BRA1403A1.DOCX")</f>
      </c>
      <c r="P792" s="6">
        <f>HYPERLINK("https://docs.wto.org/imrd/directdoc.asp?DDFDocuments/u/G/TBTN22/BRA1403A1.DOCX", "https://docs.wto.org/imrd/directdoc.asp?DDFDocuments/u/G/TBTN22/BRA1403A1.DOCX")</f>
      </c>
      <c r="Q792" s="6">
        <f>HYPERLINK("https://docs.wto.org/imrd/directdoc.asp?DDFDocuments/v/G/TBTN22/BRA1403A1.DOCX", "https://docs.wto.org/imrd/directdoc.asp?DDFDocuments/v/G/TBTN22/BRA1403A1.DOCX")</f>
      </c>
    </row>
    <row r="793">
      <c r="A793" s="6" t="s">
        <v>60</v>
      </c>
      <c r="B793" s="7">
        <v>45607</v>
      </c>
      <c r="C793" s="9">
        <f>HYPERLINK("https://eping.wto.org/en/Search?viewData= G/TBT/N/BDI/532, G/TBT/N/KEN/1705, G/TBT/N/RWA/1099, G/TBT/N/TZA/1215, G/TBT/N/UGA/2044"," G/TBT/N/BDI/532, G/TBT/N/KEN/1705, G/TBT/N/RWA/1099, G/TBT/N/TZA/1215, G/TBT/N/UGA/2044")</f>
      </c>
      <c r="D793" s="8" t="s">
        <v>3110</v>
      </c>
      <c r="E793" s="8" t="s">
        <v>3111</v>
      </c>
      <c r="F793" s="8" t="s">
        <v>3112</v>
      </c>
      <c r="G793" s="8" t="s">
        <v>3113</v>
      </c>
      <c r="H793" s="8" t="s">
        <v>3101</v>
      </c>
      <c r="I793" s="8" t="s">
        <v>3102</v>
      </c>
      <c r="J793" s="8" t="s">
        <v>22</v>
      </c>
      <c r="K793" s="6"/>
      <c r="L793" s="7">
        <v>45667</v>
      </c>
      <c r="M793" s="6" t="s">
        <v>32</v>
      </c>
      <c r="N793" s="8" t="s">
        <v>3114</v>
      </c>
      <c r="O793" s="6">
        <f>HYPERLINK("https://docs.wto.org/imrd/directdoc.asp?DDFDocuments/t/G/TBTN24/BDI532.DOCX", "https://docs.wto.org/imrd/directdoc.asp?DDFDocuments/t/G/TBTN24/BDI532.DOCX")</f>
      </c>
      <c r="P793" s="6">
        <f>HYPERLINK("https://docs.wto.org/imrd/directdoc.asp?DDFDocuments/u/G/TBTN24/BDI532.DOCX", "https://docs.wto.org/imrd/directdoc.asp?DDFDocuments/u/G/TBTN24/BDI532.DOCX")</f>
      </c>
      <c r="Q793" s="6">
        <f>HYPERLINK("https://docs.wto.org/imrd/directdoc.asp?DDFDocuments/v/G/TBTN24/BDI532.DOCX", "https://docs.wto.org/imrd/directdoc.asp?DDFDocuments/v/G/TBTN24/BDI532.DOCX")</f>
      </c>
    </row>
    <row r="794">
      <c r="A794" s="6" t="s">
        <v>3168</v>
      </c>
      <c r="B794" s="7">
        <v>45607</v>
      </c>
      <c r="C794" s="9">
        <f>HYPERLINK("https://eping.wto.org/en/Search?viewData= G/TBT/N/HND/102/Add.1"," G/TBT/N/HND/102/Add.1")</f>
      </c>
      <c r="D794" s="8" t="s">
        <v>3169</v>
      </c>
      <c r="E794" s="8" t="s">
        <v>3170</v>
      </c>
      <c r="F794" s="8" t="s">
        <v>2105</v>
      </c>
      <c r="G794" s="8" t="s">
        <v>22</v>
      </c>
      <c r="H794" s="8" t="s">
        <v>2107</v>
      </c>
      <c r="I794" s="8" t="s">
        <v>760</v>
      </c>
      <c r="J794" s="8" t="s">
        <v>81</v>
      </c>
      <c r="K794" s="6"/>
      <c r="L794" s="7">
        <v>45637</v>
      </c>
      <c r="M794" s="6" t="s">
        <v>40</v>
      </c>
      <c r="N794" s="6"/>
      <c r="O794" s="6">
        <f>HYPERLINK("https://docs.wto.org/imrd/directdoc.asp?DDFDocuments/t/G/TBTN24/HND102A1.DOCX", "https://docs.wto.org/imrd/directdoc.asp?DDFDocuments/t/G/TBTN24/HND102A1.DOCX")</f>
      </c>
      <c r="P794" s="6">
        <f>HYPERLINK("https://docs.wto.org/imrd/directdoc.asp?DDFDocuments/u/G/TBTN24/HND102A1.DOCX", "https://docs.wto.org/imrd/directdoc.asp?DDFDocuments/u/G/TBTN24/HND102A1.DOCX")</f>
      </c>
      <c r="Q794" s="6">
        <f>HYPERLINK("https://docs.wto.org/imrd/directdoc.asp?DDFDocuments/v/G/TBTN24/HND102A1.DOCX", "https://docs.wto.org/imrd/directdoc.asp?DDFDocuments/v/G/TBTN24/HND102A1.DOCX")</f>
      </c>
    </row>
    <row r="795">
      <c r="A795" s="6" t="s">
        <v>53</v>
      </c>
      <c r="B795" s="7">
        <v>45607</v>
      </c>
      <c r="C795" s="9">
        <f>HYPERLINK("https://eping.wto.org/en/Search?viewData= G/TBT/N/BDI/528, G/TBT/N/KEN/1701, G/TBT/N/RWA/1095, G/TBT/N/TZA/1211, G/TBT/N/UGA/2040"," G/TBT/N/BDI/528, G/TBT/N/KEN/1701, G/TBT/N/RWA/1095, G/TBT/N/TZA/1211, G/TBT/N/UGA/2040")</f>
      </c>
      <c r="D795" s="8" t="s">
        <v>3115</v>
      </c>
      <c r="E795" s="8" t="s">
        <v>3116</v>
      </c>
      <c r="F795" s="8" t="s">
        <v>3099</v>
      </c>
      <c r="G795" s="8" t="s">
        <v>3100</v>
      </c>
      <c r="H795" s="8" t="s">
        <v>3101</v>
      </c>
      <c r="I795" s="8" t="s">
        <v>2422</v>
      </c>
      <c r="J795" s="8" t="s">
        <v>22</v>
      </c>
      <c r="K795" s="6"/>
      <c r="L795" s="7">
        <v>45667</v>
      </c>
      <c r="M795" s="6" t="s">
        <v>32</v>
      </c>
      <c r="N795" s="8" t="s">
        <v>3117</v>
      </c>
      <c r="O795" s="6">
        <f>HYPERLINK("https://docs.wto.org/imrd/directdoc.asp?DDFDocuments/t/G/TBTN24/BDI528.DOCX", "https://docs.wto.org/imrd/directdoc.asp?DDFDocuments/t/G/TBTN24/BDI528.DOCX")</f>
      </c>
      <c r="P795" s="6">
        <f>HYPERLINK("https://docs.wto.org/imrd/directdoc.asp?DDFDocuments/u/G/TBTN24/BDI528.DOCX", "https://docs.wto.org/imrd/directdoc.asp?DDFDocuments/u/G/TBTN24/BDI528.DOCX")</f>
      </c>
      <c r="Q795" s="6">
        <f>HYPERLINK("https://docs.wto.org/imrd/directdoc.asp?DDFDocuments/v/G/TBTN24/BDI528.DOCX", "https://docs.wto.org/imrd/directdoc.asp?DDFDocuments/v/G/TBTN24/BDI528.DOCX")</f>
      </c>
    </row>
    <row r="796">
      <c r="A796" s="6" t="s">
        <v>60</v>
      </c>
      <c r="B796" s="7">
        <v>45607</v>
      </c>
      <c r="C796" s="9">
        <f>HYPERLINK("https://eping.wto.org/en/Search?viewData= G/TBT/N/BDI/531, G/TBT/N/KEN/1704, G/TBT/N/RWA/1098, G/TBT/N/TZA/1214, G/TBT/N/UGA/2043"," G/TBT/N/BDI/531, G/TBT/N/KEN/1704, G/TBT/N/RWA/1098, G/TBT/N/TZA/1214, G/TBT/N/UGA/2043")</f>
      </c>
      <c r="D796" s="8" t="s">
        <v>3123</v>
      </c>
      <c r="E796" s="8" t="s">
        <v>3124</v>
      </c>
      <c r="F796" s="8" t="s">
        <v>3099</v>
      </c>
      <c r="G796" s="8" t="s">
        <v>3100</v>
      </c>
      <c r="H796" s="8" t="s">
        <v>3101</v>
      </c>
      <c r="I796" s="8" t="s">
        <v>2422</v>
      </c>
      <c r="J796" s="8" t="s">
        <v>22</v>
      </c>
      <c r="K796" s="6"/>
      <c r="L796" s="7">
        <v>45667</v>
      </c>
      <c r="M796" s="6" t="s">
        <v>32</v>
      </c>
      <c r="N796" s="8" t="s">
        <v>3125</v>
      </c>
      <c r="O796" s="6">
        <f>HYPERLINK("https://docs.wto.org/imrd/directdoc.asp?DDFDocuments/t/G/TBTN24/BDI531.DOCX", "https://docs.wto.org/imrd/directdoc.asp?DDFDocuments/t/G/TBTN24/BDI531.DOCX")</f>
      </c>
      <c r="P796" s="6">
        <f>HYPERLINK("https://docs.wto.org/imrd/directdoc.asp?DDFDocuments/u/G/TBTN24/BDI531.DOCX", "https://docs.wto.org/imrd/directdoc.asp?DDFDocuments/u/G/TBTN24/BDI531.DOCX")</f>
      </c>
      <c r="Q796" s="6">
        <f>HYPERLINK("https://docs.wto.org/imrd/directdoc.asp?DDFDocuments/v/G/TBTN24/BDI531.DOCX", "https://docs.wto.org/imrd/directdoc.asp?DDFDocuments/v/G/TBTN24/BDI531.DOCX")</f>
      </c>
    </row>
    <row r="797">
      <c r="A797" s="6" t="s">
        <v>82</v>
      </c>
      <c r="B797" s="7">
        <v>45607</v>
      </c>
      <c r="C797" s="9">
        <f>HYPERLINK("https://eping.wto.org/en/Search?viewData= G/TBT/N/BRA/408/Rev.1/Add.4/Corr.4"," G/TBT/N/BRA/408/Rev.1/Add.4/Corr.4")</f>
      </c>
      <c r="D797" s="8" t="s">
        <v>3171</v>
      </c>
      <c r="E797" s="8" t="s">
        <v>3171</v>
      </c>
      <c r="F797" s="8" t="s">
        <v>245</v>
      </c>
      <c r="G797" s="8" t="s">
        <v>246</v>
      </c>
      <c r="H797" s="8" t="s">
        <v>247</v>
      </c>
      <c r="I797" s="8" t="s">
        <v>183</v>
      </c>
      <c r="J797" s="8" t="s">
        <v>22</v>
      </c>
      <c r="K797" s="6"/>
      <c r="L797" s="7" t="s">
        <v>22</v>
      </c>
      <c r="M797" s="6" t="s">
        <v>248</v>
      </c>
      <c r="N797" s="8" t="s">
        <v>3172</v>
      </c>
      <c r="O797" s="6">
        <f>HYPERLINK("https://docs.wto.org/imrd/directdoc.asp?DDFDocuments/t/G/TBTN10/BRA408R1A4C4.DOCX", "https://docs.wto.org/imrd/directdoc.asp?DDFDocuments/t/G/TBTN10/BRA408R1A4C4.DOCX")</f>
      </c>
      <c r="P797" s="6">
        <f>HYPERLINK("https://docs.wto.org/imrd/directdoc.asp?DDFDocuments/u/G/TBTN10/BRA408R1A4C4.DOCX", "https://docs.wto.org/imrd/directdoc.asp?DDFDocuments/u/G/TBTN10/BRA408R1A4C4.DOCX")</f>
      </c>
      <c r="Q797" s="6">
        <f>HYPERLINK("https://docs.wto.org/imrd/directdoc.asp?DDFDocuments/v/G/TBTN10/BRA408R1A4C4.DOCX", "https://docs.wto.org/imrd/directdoc.asp?DDFDocuments/v/G/TBTN10/BRA408R1A4C4.DOCX")</f>
      </c>
    </row>
    <row r="798">
      <c r="A798" s="6" t="s">
        <v>366</v>
      </c>
      <c r="B798" s="7">
        <v>45607</v>
      </c>
      <c r="C798" s="9">
        <f>HYPERLINK("https://eping.wto.org/en/Search?viewData= G/SPS/N/KAZ/138/Add.1"," G/SPS/N/KAZ/138/Add.1")</f>
      </c>
      <c r="D798" s="8" t="s">
        <v>3173</v>
      </c>
      <c r="E798" s="8" t="s">
        <v>3174</v>
      </c>
      <c r="F798" s="8" t="s">
        <v>3175</v>
      </c>
      <c r="G798" s="8" t="s">
        <v>3176</v>
      </c>
      <c r="H798" s="8" t="s">
        <v>22</v>
      </c>
      <c r="I798" s="8" t="s">
        <v>371</v>
      </c>
      <c r="J798" s="8" t="s">
        <v>3177</v>
      </c>
      <c r="K798" s="6"/>
      <c r="L798" s="7" t="s">
        <v>22</v>
      </c>
      <c r="M798" s="6" t="s">
        <v>24</v>
      </c>
      <c r="N798" s="6"/>
      <c r="O798" s="6">
        <f>HYPERLINK("https://docs.wto.org/imrd/directdoc.asp?DDFDocuments/t/G/SPS/NKAZ138A1.DOCX", "https://docs.wto.org/imrd/directdoc.asp?DDFDocuments/t/G/SPS/NKAZ138A1.DOCX")</f>
      </c>
      <c r="P798" s="6">
        <f>HYPERLINK("https://docs.wto.org/imrd/directdoc.asp?DDFDocuments/u/G/SPS/NKAZ138A1.DOCX", "https://docs.wto.org/imrd/directdoc.asp?DDFDocuments/u/G/SPS/NKAZ138A1.DOCX")</f>
      </c>
      <c r="Q798" s="6">
        <f>HYPERLINK("https://docs.wto.org/imrd/directdoc.asp?DDFDocuments/v/G/SPS/NKAZ138A1.DOCX", "https://docs.wto.org/imrd/directdoc.asp?DDFDocuments/v/G/SPS/NKAZ138A1.DOCX")</f>
      </c>
    </row>
    <row r="799">
      <c r="A799" s="6" t="s">
        <v>26</v>
      </c>
      <c r="B799" s="7">
        <v>45607</v>
      </c>
      <c r="C799" s="9">
        <f>HYPERLINK("https://eping.wto.org/en/Search?viewData= G/TBT/N/BDI/532, G/TBT/N/KEN/1705, G/TBT/N/RWA/1099, G/TBT/N/TZA/1215, G/TBT/N/UGA/2044"," G/TBT/N/BDI/532, G/TBT/N/KEN/1705, G/TBT/N/RWA/1099, G/TBT/N/TZA/1215, G/TBT/N/UGA/2044")</f>
      </c>
      <c r="D799" s="8" t="s">
        <v>3110</v>
      </c>
      <c r="E799" s="8" t="s">
        <v>3111</v>
      </c>
      <c r="F799" s="8" t="s">
        <v>3112</v>
      </c>
      <c r="G799" s="8" t="s">
        <v>3113</v>
      </c>
      <c r="H799" s="8" t="s">
        <v>3101</v>
      </c>
      <c r="I799" s="8" t="s">
        <v>3102</v>
      </c>
      <c r="J799" s="8" t="s">
        <v>22</v>
      </c>
      <c r="K799" s="6"/>
      <c r="L799" s="7">
        <v>45667</v>
      </c>
      <c r="M799" s="6" t="s">
        <v>32</v>
      </c>
      <c r="N799" s="8" t="s">
        <v>3114</v>
      </c>
      <c r="O799" s="6">
        <f>HYPERLINK("https://docs.wto.org/imrd/directdoc.asp?DDFDocuments/t/G/TBTN24/BDI532.DOCX", "https://docs.wto.org/imrd/directdoc.asp?DDFDocuments/t/G/TBTN24/BDI532.DOCX")</f>
      </c>
      <c r="P799" s="6">
        <f>HYPERLINK("https://docs.wto.org/imrd/directdoc.asp?DDFDocuments/u/G/TBTN24/BDI532.DOCX", "https://docs.wto.org/imrd/directdoc.asp?DDFDocuments/u/G/TBTN24/BDI532.DOCX")</f>
      </c>
      <c r="Q799" s="6">
        <f>HYPERLINK("https://docs.wto.org/imrd/directdoc.asp?DDFDocuments/v/G/TBTN24/BDI532.DOCX", "https://docs.wto.org/imrd/directdoc.asp?DDFDocuments/v/G/TBTN24/BDI532.DOCX")</f>
      </c>
    </row>
    <row r="800">
      <c r="A800" s="6" t="s">
        <v>68</v>
      </c>
      <c r="B800" s="7">
        <v>45607</v>
      </c>
      <c r="C800" s="9">
        <f>HYPERLINK("https://eping.wto.org/en/Search?viewData= G/TBT/N/BDI/532, G/TBT/N/KEN/1705, G/TBT/N/RWA/1099, G/TBT/N/TZA/1215, G/TBT/N/UGA/2044"," G/TBT/N/BDI/532, G/TBT/N/KEN/1705, G/TBT/N/RWA/1099, G/TBT/N/TZA/1215, G/TBT/N/UGA/2044")</f>
      </c>
      <c r="D800" s="8" t="s">
        <v>3110</v>
      </c>
      <c r="E800" s="8" t="s">
        <v>3111</v>
      </c>
      <c r="F800" s="8" t="s">
        <v>3112</v>
      </c>
      <c r="G800" s="8" t="s">
        <v>3113</v>
      </c>
      <c r="H800" s="8" t="s">
        <v>3101</v>
      </c>
      <c r="I800" s="8" t="s">
        <v>3102</v>
      </c>
      <c r="J800" s="8" t="s">
        <v>22</v>
      </c>
      <c r="K800" s="6"/>
      <c r="L800" s="7">
        <v>45667</v>
      </c>
      <c r="M800" s="6" t="s">
        <v>32</v>
      </c>
      <c r="N800" s="8" t="s">
        <v>3114</v>
      </c>
      <c r="O800" s="6">
        <f>HYPERLINK("https://docs.wto.org/imrd/directdoc.asp?DDFDocuments/t/G/TBTN24/BDI532.DOCX", "https://docs.wto.org/imrd/directdoc.asp?DDFDocuments/t/G/TBTN24/BDI532.DOCX")</f>
      </c>
      <c r="P800" s="6">
        <f>HYPERLINK("https://docs.wto.org/imrd/directdoc.asp?DDFDocuments/u/G/TBTN24/BDI532.DOCX", "https://docs.wto.org/imrd/directdoc.asp?DDFDocuments/u/G/TBTN24/BDI532.DOCX")</f>
      </c>
      <c r="Q800" s="6">
        <f>HYPERLINK("https://docs.wto.org/imrd/directdoc.asp?DDFDocuments/v/G/TBTN24/BDI532.DOCX", "https://docs.wto.org/imrd/directdoc.asp?DDFDocuments/v/G/TBTN24/BDI532.DOCX")</f>
      </c>
    </row>
    <row r="801">
      <c r="A801" s="6" t="s">
        <v>400</v>
      </c>
      <c r="B801" s="7">
        <v>45607</v>
      </c>
      <c r="C801" s="9">
        <f>HYPERLINK("https://eping.wto.org/en/Search?viewData= G/TBT/N/USA/2146/Add.1"," G/TBT/N/USA/2146/Add.1")</f>
      </c>
      <c r="D801" s="8" t="s">
        <v>1858</v>
      </c>
      <c r="E801" s="8" t="s">
        <v>3178</v>
      </c>
      <c r="F801" s="8" t="s">
        <v>1860</v>
      </c>
      <c r="G801" s="8" t="s">
        <v>22</v>
      </c>
      <c r="H801" s="8" t="s">
        <v>3179</v>
      </c>
      <c r="I801" s="8" t="s">
        <v>286</v>
      </c>
      <c r="J801" s="8" t="s">
        <v>22</v>
      </c>
      <c r="K801" s="6"/>
      <c r="L801" s="7">
        <v>45634</v>
      </c>
      <c r="M801" s="6" t="s">
        <v>40</v>
      </c>
      <c r="N801" s="6"/>
      <c r="O801" s="6">
        <f>HYPERLINK("https://docs.wto.org/imrd/directdoc.asp?DDFDocuments/t/G/TBTN24/USA2146A1.DOCX", "https://docs.wto.org/imrd/directdoc.asp?DDFDocuments/t/G/TBTN24/USA2146A1.DOCX")</f>
      </c>
      <c r="P801" s="6">
        <f>HYPERLINK("https://docs.wto.org/imrd/directdoc.asp?DDFDocuments/u/G/TBTN24/USA2146A1.DOCX", "https://docs.wto.org/imrd/directdoc.asp?DDFDocuments/u/G/TBTN24/USA2146A1.DOCX")</f>
      </c>
      <c r="Q801" s="6">
        <f>HYPERLINK("https://docs.wto.org/imrd/directdoc.asp?DDFDocuments/v/G/TBTN24/USA2146A1.DOCX", "https://docs.wto.org/imrd/directdoc.asp?DDFDocuments/v/G/TBTN24/USA2146A1.DOCX")</f>
      </c>
    </row>
    <row r="802">
      <c r="A802" s="6" t="s">
        <v>366</v>
      </c>
      <c r="B802" s="7">
        <v>45607</v>
      </c>
      <c r="C802" s="9">
        <f>HYPERLINK("https://eping.wto.org/en/Search?viewData= G/SPS/N/KAZ/180"," G/SPS/N/KAZ/180")</f>
      </c>
      <c r="D802" s="8" t="s">
        <v>3180</v>
      </c>
      <c r="E802" s="8" t="s">
        <v>3181</v>
      </c>
      <c r="F802" s="8" t="s">
        <v>369</v>
      </c>
      <c r="G802" s="8" t="s">
        <v>370</v>
      </c>
      <c r="H802" s="8" t="s">
        <v>22</v>
      </c>
      <c r="I802" s="8" t="s">
        <v>371</v>
      </c>
      <c r="J802" s="8" t="s">
        <v>3182</v>
      </c>
      <c r="K802" s="6" t="s">
        <v>3183</v>
      </c>
      <c r="L802" s="7" t="s">
        <v>22</v>
      </c>
      <c r="M802" s="6" t="s">
        <v>331</v>
      </c>
      <c r="N802" s="6"/>
      <c r="O802" s="6">
        <f>HYPERLINK("https://docs.wto.org/imrd/directdoc.asp?DDFDocuments/t/G/SPS/NKAZ180.DOCX", "https://docs.wto.org/imrd/directdoc.asp?DDFDocuments/t/G/SPS/NKAZ180.DOCX")</f>
      </c>
      <c r="P802" s="6">
        <f>HYPERLINK("https://docs.wto.org/imrd/directdoc.asp?DDFDocuments/u/G/SPS/NKAZ180.DOCX", "https://docs.wto.org/imrd/directdoc.asp?DDFDocuments/u/G/SPS/NKAZ180.DOCX")</f>
      </c>
      <c r="Q802" s="6">
        <f>HYPERLINK("https://docs.wto.org/imrd/directdoc.asp?DDFDocuments/v/G/SPS/NKAZ180.DOCX", "https://docs.wto.org/imrd/directdoc.asp?DDFDocuments/v/G/SPS/NKAZ180.DOCX")</f>
      </c>
    </row>
    <row r="803">
      <c r="A803" s="6" t="s">
        <v>53</v>
      </c>
      <c r="B803" s="7">
        <v>45607</v>
      </c>
      <c r="C803" s="9">
        <f>HYPERLINK("https://eping.wto.org/en/Search?viewData= G/TBT/N/BDI/530, G/TBT/N/KEN/1703, G/TBT/N/RWA/1097, G/TBT/N/TZA/1213, G/TBT/N/UGA/2042"," G/TBT/N/BDI/530, G/TBT/N/KEN/1703, G/TBT/N/RWA/1097, G/TBT/N/TZA/1213, G/TBT/N/UGA/2042")</f>
      </c>
      <c r="D803" s="8" t="s">
        <v>3097</v>
      </c>
      <c r="E803" s="8" t="s">
        <v>3098</v>
      </c>
      <c r="F803" s="8" t="s">
        <v>3099</v>
      </c>
      <c r="G803" s="8" t="s">
        <v>3100</v>
      </c>
      <c r="H803" s="8" t="s">
        <v>3101</v>
      </c>
      <c r="I803" s="8" t="s">
        <v>3102</v>
      </c>
      <c r="J803" s="8" t="s">
        <v>22</v>
      </c>
      <c r="K803" s="6"/>
      <c r="L803" s="7">
        <v>45667</v>
      </c>
      <c r="M803" s="6" t="s">
        <v>32</v>
      </c>
      <c r="N803" s="8" t="s">
        <v>3103</v>
      </c>
      <c r="O803" s="6">
        <f>HYPERLINK("https://docs.wto.org/imrd/directdoc.asp?DDFDocuments/t/G/TBTN24/BDI530.DOCX", "https://docs.wto.org/imrd/directdoc.asp?DDFDocuments/t/G/TBTN24/BDI530.DOCX")</f>
      </c>
      <c r="P803" s="6">
        <f>HYPERLINK("https://docs.wto.org/imrd/directdoc.asp?DDFDocuments/u/G/TBTN24/BDI530.DOCX", "https://docs.wto.org/imrd/directdoc.asp?DDFDocuments/u/G/TBTN24/BDI530.DOCX")</f>
      </c>
      <c r="Q803" s="6">
        <f>HYPERLINK("https://docs.wto.org/imrd/directdoc.asp?DDFDocuments/v/G/TBTN24/BDI530.DOCX", "https://docs.wto.org/imrd/directdoc.asp?DDFDocuments/v/G/TBTN24/BDI530.DOCX")</f>
      </c>
    </row>
    <row r="804">
      <c r="A804" s="6" t="s">
        <v>400</v>
      </c>
      <c r="B804" s="7">
        <v>45607</v>
      </c>
      <c r="C804" s="9">
        <f>HYPERLINK("https://eping.wto.org/en/Search?viewData= G/TBT/N/USA/2082/Add.3"," G/TBT/N/USA/2082/Add.3")</f>
      </c>
      <c r="D804" s="8" t="s">
        <v>3184</v>
      </c>
      <c r="E804" s="8" t="s">
        <v>3185</v>
      </c>
      <c r="F804" s="8" t="s">
        <v>1476</v>
      </c>
      <c r="G804" s="8" t="s">
        <v>22</v>
      </c>
      <c r="H804" s="8" t="s">
        <v>1477</v>
      </c>
      <c r="I804" s="8" t="s">
        <v>619</v>
      </c>
      <c r="J804" s="8" t="s">
        <v>22</v>
      </c>
      <c r="K804" s="6"/>
      <c r="L804" s="7" t="s">
        <v>22</v>
      </c>
      <c r="M804" s="6" t="s">
        <v>40</v>
      </c>
      <c r="N804" s="6"/>
      <c r="O804" s="6">
        <f>HYPERLINK("https://docs.wto.org/imrd/directdoc.asp?DDFDocuments/t/G/TBTN24/USA2082A3.DOCX", "https://docs.wto.org/imrd/directdoc.asp?DDFDocuments/t/G/TBTN24/USA2082A3.DOCX")</f>
      </c>
      <c r="P804" s="6">
        <f>HYPERLINK("https://docs.wto.org/imrd/directdoc.asp?DDFDocuments/u/G/TBTN24/USA2082A3.DOCX", "https://docs.wto.org/imrd/directdoc.asp?DDFDocuments/u/G/TBTN24/USA2082A3.DOCX")</f>
      </c>
      <c r="Q804" s="6">
        <f>HYPERLINK("https://docs.wto.org/imrd/directdoc.asp?DDFDocuments/v/G/TBTN24/USA2082A3.DOCX", "https://docs.wto.org/imrd/directdoc.asp?DDFDocuments/v/G/TBTN24/USA2082A3.DOCX")</f>
      </c>
    </row>
    <row r="805">
      <c r="A805" s="6" t="s">
        <v>226</v>
      </c>
      <c r="B805" s="7">
        <v>45607</v>
      </c>
      <c r="C805" s="9">
        <f>HYPERLINK("https://eping.wto.org/en/Search?viewData= G/TBT/N/ARE/642"," G/TBT/N/ARE/642")</f>
      </c>
      <c r="D805" s="8" t="s">
        <v>3186</v>
      </c>
      <c r="E805" s="8" t="s">
        <v>3187</v>
      </c>
      <c r="F805" s="8" t="s">
        <v>229</v>
      </c>
      <c r="G805" s="8" t="s">
        <v>22</v>
      </c>
      <c r="H805" s="8" t="s">
        <v>3188</v>
      </c>
      <c r="I805" s="8" t="s">
        <v>286</v>
      </c>
      <c r="J805" s="8" t="s">
        <v>558</v>
      </c>
      <c r="K805" s="6"/>
      <c r="L805" s="7">
        <v>45667</v>
      </c>
      <c r="M805" s="6" t="s">
        <v>32</v>
      </c>
      <c r="N805" s="8" t="s">
        <v>3189</v>
      </c>
      <c r="O805" s="6">
        <f>HYPERLINK("https://docs.wto.org/imrd/directdoc.asp?DDFDocuments/t/G/TBTN24/ARE642.DOCX", "https://docs.wto.org/imrd/directdoc.asp?DDFDocuments/t/G/TBTN24/ARE642.DOCX")</f>
      </c>
      <c r="P805" s="6">
        <f>HYPERLINK("https://docs.wto.org/imrd/directdoc.asp?DDFDocuments/u/G/TBTN24/ARE642.DOCX", "https://docs.wto.org/imrd/directdoc.asp?DDFDocuments/u/G/TBTN24/ARE642.DOCX")</f>
      </c>
      <c r="Q805" s="6">
        <f>HYPERLINK("https://docs.wto.org/imrd/directdoc.asp?DDFDocuments/v/G/TBTN24/ARE642.DOCX", "https://docs.wto.org/imrd/directdoc.asp?DDFDocuments/v/G/TBTN24/ARE642.DOCX")</f>
      </c>
    </row>
    <row r="806">
      <c r="A806" s="6" t="s">
        <v>472</v>
      </c>
      <c r="B806" s="7">
        <v>45604</v>
      </c>
      <c r="C806" s="9">
        <f>HYPERLINK("https://eping.wto.org/en/Search?viewData= G/SPS/N/JPN/1314"," G/SPS/N/JPN/1314")</f>
      </c>
      <c r="D806" s="8" t="s">
        <v>3190</v>
      </c>
      <c r="E806" s="8" t="s">
        <v>3191</v>
      </c>
      <c r="F806" s="8" t="s">
        <v>3192</v>
      </c>
      <c r="G806" s="8" t="s">
        <v>3193</v>
      </c>
      <c r="H806" s="8" t="s">
        <v>22</v>
      </c>
      <c r="I806" s="8" t="s">
        <v>120</v>
      </c>
      <c r="J806" s="8" t="s">
        <v>969</v>
      </c>
      <c r="K806" s="6" t="s">
        <v>22</v>
      </c>
      <c r="L806" s="7">
        <v>45664</v>
      </c>
      <c r="M806" s="6" t="s">
        <v>32</v>
      </c>
      <c r="N806" s="8" t="s">
        <v>3194</v>
      </c>
      <c r="O806" s="6">
        <f>HYPERLINK("https://docs.wto.org/imrd/directdoc.asp?DDFDocuments/t/G/SPS/NJPN1314.DOCX", "https://docs.wto.org/imrd/directdoc.asp?DDFDocuments/t/G/SPS/NJPN1314.DOCX")</f>
      </c>
      <c r="P806" s="6">
        <f>HYPERLINK("https://docs.wto.org/imrd/directdoc.asp?DDFDocuments/u/G/SPS/NJPN1314.DOCX", "https://docs.wto.org/imrd/directdoc.asp?DDFDocuments/u/G/SPS/NJPN1314.DOCX")</f>
      </c>
      <c r="Q806" s="6">
        <f>HYPERLINK("https://docs.wto.org/imrd/directdoc.asp?DDFDocuments/v/G/SPS/NJPN1314.DOCX", "https://docs.wto.org/imrd/directdoc.asp?DDFDocuments/v/G/SPS/NJPN1314.DOCX")</f>
      </c>
    </row>
    <row r="807">
      <c r="A807" s="6" t="s">
        <v>472</v>
      </c>
      <c r="B807" s="7">
        <v>45604</v>
      </c>
      <c r="C807" s="9">
        <f>HYPERLINK("https://eping.wto.org/en/Search?viewData= G/SPS/N/JPN/1315"," G/SPS/N/JPN/1315")</f>
      </c>
      <c r="D807" s="8" t="s">
        <v>3190</v>
      </c>
      <c r="E807" s="8" t="s">
        <v>3195</v>
      </c>
      <c r="F807" s="8" t="s">
        <v>3196</v>
      </c>
      <c r="G807" s="8" t="s">
        <v>3197</v>
      </c>
      <c r="H807" s="8" t="s">
        <v>22</v>
      </c>
      <c r="I807" s="8" t="s">
        <v>120</v>
      </c>
      <c r="J807" s="8" t="s">
        <v>969</v>
      </c>
      <c r="K807" s="6" t="s">
        <v>22</v>
      </c>
      <c r="L807" s="7">
        <v>45664</v>
      </c>
      <c r="M807" s="6" t="s">
        <v>32</v>
      </c>
      <c r="N807" s="8" t="s">
        <v>3198</v>
      </c>
      <c r="O807" s="6">
        <f>HYPERLINK("https://docs.wto.org/imrd/directdoc.asp?DDFDocuments/t/G/SPS/NJPN1315.DOCX", "https://docs.wto.org/imrd/directdoc.asp?DDFDocuments/t/G/SPS/NJPN1315.DOCX")</f>
      </c>
      <c r="P807" s="6">
        <f>HYPERLINK("https://docs.wto.org/imrd/directdoc.asp?DDFDocuments/u/G/SPS/NJPN1315.DOCX", "https://docs.wto.org/imrd/directdoc.asp?DDFDocuments/u/G/SPS/NJPN1315.DOCX")</f>
      </c>
      <c r="Q807" s="6">
        <f>HYPERLINK("https://docs.wto.org/imrd/directdoc.asp?DDFDocuments/v/G/SPS/NJPN1315.DOCX", "https://docs.wto.org/imrd/directdoc.asp?DDFDocuments/v/G/SPS/NJPN1315.DOCX")</f>
      </c>
    </row>
    <row r="808">
      <c r="A808" s="6" t="s">
        <v>2789</v>
      </c>
      <c r="B808" s="7">
        <v>45604</v>
      </c>
      <c r="C808" s="9">
        <f>HYPERLINK("https://eping.wto.org/en/Search?viewData= G/TBT/N/MMR/11"," G/TBT/N/MMR/11")</f>
      </c>
      <c r="D808" s="8" t="s">
        <v>3199</v>
      </c>
      <c r="E808" s="8" t="s">
        <v>3200</v>
      </c>
      <c r="F808" s="8" t="s">
        <v>3201</v>
      </c>
      <c r="G808" s="8" t="s">
        <v>3202</v>
      </c>
      <c r="H808" s="8" t="s">
        <v>3203</v>
      </c>
      <c r="I808" s="8" t="s">
        <v>138</v>
      </c>
      <c r="J808" s="8" t="s">
        <v>58</v>
      </c>
      <c r="K808" s="6"/>
      <c r="L808" s="7" t="s">
        <v>22</v>
      </c>
      <c r="M808" s="6" t="s">
        <v>32</v>
      </c>
      <c r="N808" s="8" t="s">
        <v>3204</v>
      </c>
      <c r="O808" s="6">
        <f>HYPERLINK("https://docs.wto.org/imrd/directdoc.asp?DDFDocuments/t/G/TBTN24/MMR11.DOCX", "https://docs.wto.org/imrd/directdoc.asp?DDFDocuments/t/G/TBTN24/MMR11.DOCX")</f>
      </c>
      <c r="P808" s="6">
        <f>HYPERLINK("https://docs.wto.org/imrd/directdoc.asp?DDFDocuments/u/G/TBTN24/MMR11.DOCX", "https://docs.wto.org/imrd/directdoc.asp?DDFDocuments/u/G/TBTN24/MMR11.DOCX")</f>
      </c>
      <c r="Q808" s="6">
        <f>HYPERLINK("https://docs.wto.org/imrd/directdoc.asp?DDFDocuments/v/G/TBTN24/MMR11.DOCX", "https://docs.wto.org/imrd/directdoc.asp?DDFDocuments/v/G/TBTN24/MMR11.DOCX")</f>
      </c>
    </row>
    <row r="809">
      <c r="A809" s="6" t="s">
        <v>34</v>
      </c>
      <c r="B809" s="7">
        <v>45604</v>
      </c>
      <c r="C809" s="9">
        <f>HYPERLINK("https://eping.wto.org/en/Search?viewData= G/SPS/N/TPKM/635"," G/SPS/N/TPKM/635")</f>
      </c>
      <c r="D809" s="8" t="s">
        <v>3205</v>
      </c>
      <c r="E809" s="8" t="s">
        <v>3206</v>
      </c>
      <c r="F809" s="8" t="s">
        <v>3207</v>
      </c>
      <c r="G809" s="8" t="s">
        <v>22</v>
      </c>
      <c r="H809" s="8" t="s">
        <v>22</v>
      </c>
      <c r="I809" s="8" t="s">
        <v>348</v>
      </c>
      <c r="J809" s="8" t="s">
        <v>1350</v>
      </c>
      <c r="K809" s="6" t="s">
        <v>22</v>
      </c>
      <c r="L809" s="7">
        <v>45646</v>
      </c>
      <c r="M809" s="6" t="s">
        <v>32</v>
      </c>
      <c r="N809" s="8" t="s">
        <v>3208</v>
      </c>
      <c r="O809" s="6">
        <f>HYPERLINK("https://docs.wto.org/imrd/directdoc.asp?DDFDocuments/t/G/SPS/NTPKM635.DOCX", "https://docs.wto.org/imrd/directdoc.asp?DDFDocuments/t/G/SPS/NTPKM635.DOCX")</f>
      </c>
      <c r="P809" s="6">
        <f>HYPERLINK("https://docs.wto.org/imrd/directdoc.asp?DDFDocuments/u/G/SPS/NTPKM635.DOCX", "https://docs.wto.org/imrd/directdoc.asp?DDFDocuments/u/G/SPS/NTPKM635.DOCX")</f>
      </c>
      <c r="Q809" s="6">
        <f>HYPERLINK("https://docs.wto.org/imrd/directdoc.asp?DDFDocuments/v/G/SPS/NTPKM635.DOCX", "https://docs.wto.org/imrd/directdoc.asp?DDFDocuments/v/G/SPS/NTPKM635.DOCX")</f>
      </c>
    </row>
    <row r="810">
      <c r="A810" s="6" t="s">
        <v>17</v>
      </c>
      <c r="B810" s="7">
        <v>45604</v>
      </c>
      <c r="C810" s="9">
        <f>HYPERLINK("https://eping.wto.org/en/Search?viewData= G/TBT/N/KOR/1236"," G/TBT/N/KOR/1236")</f>
      </c>
      <c r="D810" s="8" t="s">
        <v>2147</v>
      </c>
      <c r="E810" s="8" t="s">
        <v>3209</v>
      </c>
      <c r="F810" s="8" t="s">
        <v>2148</v>
      </c>
      <c r="G810" s="8" t="s">
        <v>22</v>
      </c>
      <c r="H810" s="8" t="s">
        <v>3210</v>
      </c>
      <c r="I810" s="8" t="s">
        <v>619</v>
      </c>
      <c r="J810" s="8" t="s">
        <v>22</v>
      </c>
      <c r="K810" s="6"/>
      <c r="L810" s="7">
        <v>45664</v>
      </c>
      <c r="M810" s="6" t="s">
        <v>32</v>
      </c>
      <c r="N810" s="8" t="s">
        <v>3211</v>
      </c>
      <c r="O810" s="6">
        <f>HYPERLINK("https://docs.wto.org/imrd/directdoc.asp?DDFDocuments/t/G/TBTN24/KOR1236.DOCX", "https://docs.wto.org/imrd/directdoc.asp?DDFDocuments/t/G/TBTN24/KOR1236.DOCX")</f>
      </c>
      <c r="P810" s="6">
        <f>HYPERLINK("https://docs.wto.org/imrd/directdoc.asp?DDFDocuments/u/G/TBTN24/KOR1236.DOCX", "https://docs.wto.org/imrd/directdoc.asp?DDFDocuments/u/G/TBTN24/KOR1236.DOCX")</f>
      </c>
      <c r="Q810" s="6">
        <f>HYPERLINK("https://docs.wto.org/imrd/directdoc.asp?DDFDocuments/v/G/TBTN24/KOR1236.DOCX", "https://docs.wto.org/imrd/directdoc.asp?DDFDocuments/v/G/TBTN24/KOR1236.DOCX")</f>
      </c>
    </row>
    <row r="811">
      <c r="A811" s="6" t="s">
        <v>34</v>
      </c>
      <c r="B811" s="7">
        <v>45604</v>
      </c>
      <c r="C811" s="9">
        <f>HYPERLINK("https://eping.wto.org/en/Search?viewData= G/SPS/N/TPKM/637"," G/SPS/N/TPKM/637")</f>
      </c>
      <c r="D811" s="8" t="s">
        <v>3212</v>
      </c>
      <c r="E811" s="8" t="s">
        <v>3213</v>
      </c>
      <c r="F811" s="8" t="s">
        <v>3214</v>
      </c>
      <c r="G811" s="8" t="s">
        <v>22</v>
      </c>
      <c r="H811" s="8" t="s">
        <v>22</v>
      </c>
      <c r="I811" s="8" t="s">
        <v>348</v>
      </c>
      <c r="J811" s="8" t="s">
        <v>1350</v>
      </c>
      <c r="K811" s="6" t="s">
        <v>22</v>
      </c>
      <c r="L811" s="7">
        <v>45646</v>
      </c>
      <c r="M811" s="6" t="s">
        <v>32</v>
      </c>
      <c r="N811" s="8" t="s">
        <v>3215</v>
      </c>
      <c r="O811" s="6">
        <f>HYPERLINK("https://docs.wto.org/imrd/directdoc.asp?DDFDocuments/t/G/SPS/NTPKM637.DOCX", "https://docs.wto.org/imrd/directdoc.asp?DDFDocuments/t/G/SPS/NTPKM637.DOCX")</f>
      </c>
      <c r="P811" s="6">
        <f>HYPERLINK("https://docs.wto.org/imrd/directdoc.asp?DDFDocuments/u/G/SPS/NTPKM637.DOCX", "https://docs.wto.org/imrd/directdoc.asp?DDFDocuments/u/G/SPS/NTPKM637.DOCX")</f>
      </c>
      <c r="Q811" s="6">
        <f>HYPERLINK("https://docs.wto.org/imrd/directdoc.asp?DDFDocuments/v/G/SPS/NTPKM637.DOCX", "https://docs.wto.org/imrd/directdoc.asp?DDFDocuments/v/G/SPS/NTPKM637.DOCX")</f>
      </c>
    </row>
    <row r="812">
      <c r="A812" s="6" t="s">
        <v>34</v>
      </c>
      <c r="B812" s="7">
        <v>45604</v>
      </c>
      <c r="C812" s="9">
        <f>HYPERLINK("https://eping.wto.org/en/Search?viewData= G/SPS/N/TPKM/636"," G/SPS/N/TPKM/636")</f>
      </c>
      <c r="D812" s="8" t="s">
        <v>3216</v>
      </c>
      <c r="E812" s="8" t="s">
        <v>3217</v>
      </c>
      <c r="F812" s="8" t="s">
        <v>3218</v>
      </c>
      <c r="G812" s="8" t="s">
        <v>22</v>
      </c>
      <c r="H812" s="8" t="s">
        <v>22</v>
      </c>
      <c r="I812" s="8" t="s">
        <v>348</v>
      </c>
      <c r="J812" s="8" t="s">
        <v>1350</v>
      </c>
      <c r="K812" s="6" t="s">
        <v>22</v>
      </c>
      <c r="L812" s="7">
        <v>45646</v>
      </c>
      <c r="M812" s="6" t="s">
        <v>32</v>
      </c>
      <c r="N812" s="8" t="s">
        <v>3219</v>
      </c>
      <c r="O812" s="6">
        <f>HYPERLINK("https://docs.wto.org/imrd/directdoc.asp?DDFDocuments/t/G/SPS/NTPKM636.DOCX", "https://docs.wto.org/imrd/directdoc.asp?DDFDocuments/t/G/SPS/NTPKM636.DOCX")</f>
      </c>
      <c r="P812" s="6">
        <f>HYPERLINK("https://docs.wto.org/imrd/directdoc.asp?DDFDocuments/u/G/SPS/NTPKM636.DOCX", "https://docs.wto.org/imrd/directdoc.asp?DDFDocuments/u/G/SPS/NTPKM636.DOCX")</f>
      </c>
      <c r="Q812" s="6">
        <f>HYPERLINK("https://docs.wto.org/imrd/directdoc.asp?DDFDocuments/v/G/SPS/NTPKM636.DOCX", "https://docs.wto.org/imrd/directdoc.asp?DDFDocuments/v/G/SPS/NTPKM636.DOCX")</f>
      </c>
    </row>
    <row r="813">
      <c r="A813" s="6" t="s">
        <v>976</v>
      </c>
      <c r="B813" s="7">
        <v>45604</v>
      </c>
      <c r="C813" s="9">
        <f>HYPERLINK("https://eping.wto.org/en/Search?viewData= G/TBT/N/ARE/639/Corr.1, G/TBT/N/BHR/724/Corr.1, G/TBT/N/KWT/704/Corr.1, G/TBT/N/OMN/547/Corr.1, G/TBT/N/QAT/698/Corr.1, G/TBT/N/SAU/1368/Corr.1, G/TBT/N/YEM/304/Corr.1"," G/TBT/N/ARE/639/Corr.1, G/TBT/N/BHR/724/Corr.1, G/TBT/N/KWT/704/Corr.1, G/TBT/N/OMN/547/Corr.1, G/TBT/N/QAT/698/Corr.1, G/TBT/N/SAU/1368/Corr.1, G/TBT/N/YEM/304/Corr.1")</f>
      </c>
      <c r="D813" s="8" t="s">
        <v>3220</v>
      </c>
      <c r="E813" s="8" t="s">
        <v>3221</v>
      </c>
      <c r="F813" s="8" t="s">
        <v>3222</v>
      </c>
      <c r="G813" s="8" t="s">
        <v>3223</v>
      </c>
      <c r="H813" s="8" t="s">
        <v>2612</v>
      </c>
      <c r="I813" s="8" t="s">
        <v>286</v>
      </c>
      <c r="J813" s="8" t="s">
        <v>81</v>
      </c>
      <c r="K813" s="6"/>
      <c r="L813" s="7" t="s">
        <v>22</v>
      </c>
      <c r="M813" s="6" t="s">
        <v>248</v>
      </c>
      <c r="N813" s="6"/>
      <c r="O813" s="6">
        <f>HYPERLINK("https://docs.wto.org/imrd/directdoc.asp?DDFDocuments/t/G/TBTN24/ARE639C1.DOCX", "https://docs.wto.org/imrd/directdoc.asp?DDFDocuments/t/G/TBTN24/ARE639C1.DOCX")</f>
      </c>
      <c r="P813" s="6">
        <f>HYPERLINK("https://docs.wto.org/imrd/directdoc.asp?DDFDocuments/u/G/TBTN24/ARE639C1.DOCX", "https://docs.wto.org/imrd/directdoc.asp?DDFDocuments/u/G/TBTN24/ARE639C1.DOCX")</f>
      </c>
      <c r="Q813" s="6">
        <f>HYPERLINK("https://docs.wto.org/imrd/directdoc.asp?DDFDocuments/v/G/TBTN24/ARE639C1.DOCX", "https://docs.wto.org/imrd/directdoc.asp?DDFDocuments/v/G/TBTN24/ARE639C1.DOCX")</f>
      </c>
    </row>
    <row r="814">
      <c r="A814" s="6" t="s">
        <v>472</v>
      </c>
      <c r="B814" s="7">
        <v>45604</v>
      </c>
      <c r="C814" s="9">
        <f>HYPERLINK("https://eping.wto.org/en/Search?viewData= G/SPS/N/JPN/1309"," G/SPS/N/JPN/1309")</f>
      </c>
      <c r="D814" s="8" t="s">
        <v>3190</v>
      </c>
      <c r="E814" s="8" t="s">
        <v>3224</v>
      </c>
      <c r="F814" s="8" t="s">
        <v>3225</v>
      </c>
      <c r="G814" s="8" t="s">
        <v>3226</v>
      </c>
      <c r="H814" s="8" t="s">
        <v>22</v>
      </c>
      <c r="I814" s="8" t="s">
        <v>120</v>
      </c>
      <c r="J814" s="8" t="s">
        <v>121</v>
      </c>
      <c r="K814" s="6" t="s">
        <v>22</v>
      </c>
      <c r="L814" s="7">
        <v>45664</v>
      </c>
      <c r="M814" s="6" t="s">
        <v>32</v>
      </c>
      <c r="N814" s="8" t="s">
        <v>3227</v>
      </c>
      <c r="O814" s="6">
        <f>HYPERLINK("https://docs.wto.org/imrd/directdoc.asp?DDFDocuments/t/G/SPS/NJPN1309.DOCX", "https://docs.wto.org/imrd/directdoc.asp?DDFDocuments/t/G/SPS/NJPN1309.DOCX")</f>
      </c>
      <c r="P814" s="6">
        <f>HYPERLINK("https://docs.wto.org/imrd/directdoc.asp?DDFDocuments/u/G/SPS/NJPN1309.DOCX", "https://docs.wto.org/imrd/directdoc.asp?DDFDocuments/u/G/SPS/NJPN1309.DOCX")</f>
      </c>
      <c r="Q814" s="6">
        <f>HYPERLINK("https://docs.wto.org/imrd/directdoc.asp?DDFDocuments/v/G/SPS/NJPN1309.DOCX", "https://docs.wto.org/imrd/directdoc.asp?DDFDocuments/v/G/SPS/NJPN1309.DOCX")</f>
      </c>
    </row>
    <row r="815">
      <c r="A815" s="6" t="s">
        <v>472</v>
      </c>
      <c r="B815" s="7">
        <v>45604</v>
      </c>
      <c r="C815" s="9">
        <f>HYPERLINK("https://eping.wto.org/en/Search?viewData= G/SPS/N/JPN/1311"," G/SPS/N/JPN/1311")</f>
      </c>
      <c r="D815" s="8" t="s">
        <v>3190</v>
      </c>
      <c r="E815" s="8" t="s">
        <v>3228</v>
      </c>
      <c r="F815" s="8" t="s">
        <v>3229</v>
      </c>
      <c r="G815" s="8" t="s">
        <v>3230</v>
      </c>
      <c r="H815" s="8" t="s">
        <v>22</v>
      </c>
      <c r="I815" s="8" t="s">
        <v>120</v>
      </c>
      <c r="J815" s="8" t="s">
        <v>969</v>
      </c>
      <c r="K815" s="6" t="s">
        <v>22</v>
      </c>
      <c r="L815" s="7">
        <v>45664</v>
      </c>
      <c r="M815" s="6" t="s">
        <v>32</v>
      </c>
      <c r="N815" s="8" t="s">
        <v>3231</v>
      </c>
      <c r="O815" s="6">
        <f>HYPERLINK("https://docs.wto.org/imrd/directdoc.asp?DDFDocuments/t/G/SPS/NJPN1311.DOCX", "https://docs.wto.org/imrd/directdoc.asp?DDFDocuments/t/G/SPS/NJPN1311.DOCX")</f>
      </c>
      <c r="P815" s="6">
        <f>HYPERLINK("https://docs.wto.org/imrd/directdoc.asp?DDFDocuments/u/G/SPS/NJPN1311.DOCX", "https://docs.wto.org/imrd/directdoc.asp?DDFDocuments/u/G/SPS/NJPN1311.DOCX")</f>
      </c>
      <c r="Q815" s="6">
        <f>HYPERLINK("https://docs.wto.org/imrd/directdoc.asp?DDFDocuments/v/G/SPS/NJPN1311.DOCX", "https://docs.wto.org/imrd/directdoc.asp?DDFDocuments/v/G/SPS/NJPN1311.DOCX")</f>
      </c>
    </row>
    <row r="816">
      <c r="A816" s="6" t="s">
        <v>333</v>
      </c>
      <c r="B816" s="7">
        <v>45604</v>
      </c>
      <c r="C816" s="9">
        <f>HYPERLINK("https://eping.wto.org/en/Search?viewData= G/SPS/N/AUS/609"," G/SPS/N/AUS/609")</f>
      </c>
      <c r="D816" s="8" t="s">
        <v>3232</v>
      </c>
      <c r="E816" s="8" t="s">
        <v>3233</v>
      </c>
      <c r="F816" s="8" t="s">
        <v>3234</v>
      </c>
      <c r="G816" s="8" t="s">
        <v>3235</v>
      </c>
      <c r="H816" s="8" t="s">
        <v>22</v>
      </c>
      <c r="I816" s="8" t="s">
        <v>348</v>
      </c>
      <c r="J816" s="8" t="s">
        <v>1350</v>
      </c>
      <c r="K816" s="6" t="s">
        <v>3236</v>
      </c>
      <c r="L816" s="7">
        <v>45611</v>
      </c>
      <c r="M816" s="6" t="s">
        <v>32</v>
      </c>
      <c r="N816" s="8" t="s">
        <v>3237</v>
      </c>
      <c r="O816" s="6">
        <f>HYPERLINK("https://docs.wto.org/imrd/directdoc.asp?DDFDocuments/t/G/SPS/NAUS609.DOCX", "https://docs.wto.org/imrd/directdoc.asp?DDFDocuments/t/G/SPS/NAUS609.DOCX")</f>
      </c>
      <c r="P816" s="6">
        <f>HYPERLINK("https://docs.wto.org/imrd/directdoc.asp?DDFDocuments/u/G/SPS/NAUS609.DOCX", "https://docs.wto.org/imrd/directdoc.asp?DDFDocuments/u/G/SPS/NAUS609.DOCX")</f>
      </c>
      <c r="Q816" s="6">
        <f>HYPERLINK("https://docs.wto.org/imrd/directdoc.asp?DDFDocuments/v/G/SPS/NAUS609.DOCX", "https://docs.wto.org/imrd/directdoc.asp?DDFDocuments/v/G/SPS/NAUS609.DOCX")</f>
      </c>
    </row>
    <row r="817">
      <c r="A817" s="6" t="s">
        <v>34</v>
      </c>
      <c r="B817" s="7">
        <v>45604</v>
      </c>
      <c r="C817" s="9">
        <f>HYPERLINK("https://eping.wto.org/en/Search?viewData= G/SPS/N/TPKM/634"," G/SPS/N/TPKM/634")</f>
      </c>
      <c r="D817" s="8" t="s">
        <v>3238</v>
      </c>
      <c r="E817" s="8" t="s">
        <v>3239</v>
      </c>
      <c r="F817" s="8" t="s">
        <v>3240</v>
      </c>
      <c r="G817" s="8" t="s">
        <v>22</v>
      </c>
      <c r="H817" s="8" t="s">
        <v>22</v>
      </c>
      <c r="I817" s="8" t="s">
        <v>348</v>
      </c>
      <c r="J817" s="8" t="s">
        <v>1350</v>
      </c>
      <c r="K817" s="6" t="s">
        <v>22</v>
      </c>
      <c r="L817" s="7">
        <v>45646</v>
      </c>
      <c r="M817" s="6" t="s">
        <v>32</v>
      </c>
      <c r="N817" s="8" t="s">
        <v>3241</v>
      </c>
      <c r="O817" s="6">
        <f>HYPERLINK("https://docs.wto.org/imrd/directdoc.asp?DDFDocuments/t/G/SPS/NTPKM634.DOCX", "https://docs.wto.org/imrd/directdoc.asp?DDFDocuments/t/G/SPS/NTPKM634.DOCX")</f>
      </c>
      <c r="P817" s="6">
        <f>HYPERLINK("https://docs.wto.org/imrd/directdoc.asp?DDFDocuments/u/G/SPS/NTPKM634.DOCX", "https://docs.wto.org/imrd/directdoc.asp?DDFDocuments/u/G/SPS/NTPKM634.DOCX")</f>
      </c>
      <c r="Q817" s="6">
        <f>HYPERLINK("https://docs.wto.org/imrd/directdoc.asp?DDFDocuments/v/G/SPS/NTPKM634.DOCX", "https://docs.wto.org/imrd/directdoc.asp?DDFDocuments/v/G/SPS/NTPKM634.DOCX")</f>
      </c>
    </row>
    <row r="818">
      <c r="A818" s="6" t="s">
        <v>170</v>
      </c>
      <c r="B818" s="7">
        <v>45604</v>
      </c>
      <c r="C818" s="9">
        <f>HYPERLINK("https://eping.wto.org/en/Search?viewData= G/TBT/N/ARE/639/Corr.1, G/TBT/N/BHR/724/Corr.1, G/TBT/N/KWT/704/Corr.1, G/TBT/N/OMN/547/Corr.1, G/TBT/N/QAT/698/Corr.1, G/TBT/N/SAU/1368/Corr.1, G/TBT/N/YEM/304/Corr.1"," G/TBT/N/ARE/639/Corr.1, G/TBT/N/BHR/724/Corr.1, G/TBT/N/KWT/704/Corr.1, G/TBT/N/OMN/547/Corr.1, G/TBT/N/QAT/698/Corr.1, G/TBT/N/SAU/1368/Corr.1, G/TBT/N/YEM/304/Corr.1")</f>
      </c>
      <c r="D818" s="8" t="s">
        <v>3220</v>
      </c>
      <c r="E818" s="8" t="s">
        <v>3221</v>
      </c>
      <c r="F818" s="8" t="s">
        <v>3222</v>
      </c>
      <c r="G818" s="8" t="s">
        <v>3223</v>
      </c>
      <c r="H818" s="8" t="s">
        <v>2612</v>
      </c>
      <c r="I818" s="8" t="s">
        <v>286</v>
      </c>
      <c r="J818" s="8" t="s">
        <v>81</v>
      </c>
      <c r="K818" s="6"/>
      <c r="L818" s="7" t="s">
        <v>22</v>
      </c>
      <c r="M818" s="6" t="s">
        <v>248</v>
      </c>
      <c r="N818" s="6"/>
      <c r="O818" s="6">
        <f>HYPERLINK("https://docs.wto.org/imrd/directdoc.asp?DDFDocuments/t/G/TBTN24/ARE639C1.DOCX", "https://docs.wto.org/imrd/directdoc.asp?DDFDocuments/t/G/TBTN24/ARE639C1.DOCX")</f>
      </c>
      <c r="P818" s="6">
        <f>HYPERLINK("https://docs.wto.org/imrd/directdoc.asp?DDFDocuments/u/G/TBTN24/ARE639C1.DOCX", "https://docs.wto.org/imrd/directdoc.asp?DDFDocuments/u/G/TBTN24/ARE639C1.DOCX")</f>
      </c>
      <c r="Q818" s="6">
        <f>HYPERLINK("https://docs.wto.org/imrd/directdoc.asp?DDFDocuments/v/G/TBTN24/ARE639C1.DOCX", "https://docs.wto.org/imrd/directdoc.asp?DDFDocuments/v/G/TBTN24/ARE639C1.DOCX")</f>
      </c>
    </row>
    <row r="819">
      <c r="A819" s="6" t="s">
        <v>1982</v>
      </c>
      <c r="B819" s="7">
        <v>45604</v>
      </c>
      <c r="C819" s="9">
        <f>HYPERLINK("https://eping.wto.org/en/Search?viewData= G/TBT/N/ARE/641, G/TBT/N/BHR/726, G/TBT/N/KWT/706, G/TBT/N/OMN/549, G/TBT/N/QAT/700, G/TBT/N/SAU/1370, G/TBT/N/YEM/306"," G/TBT/N/ARE/641, G/TBT/N/BHR/726, G/TBT/N/KWT/706, G/TBT/N/OMN/549, G/TBT/N/QAT/700, G/TBT/N/SAU/1370, G/TBT/N/YEM/306")</f>
      </c>
      <c r="D819" s="8" t="s">
        <v>3242</v>
      </c>
      <c r="E819" s="8" t="s">
        <v>3243</v>
      </c>
      <c r="F819" s="8" t="s">
        <v>3244</v>
      </c>
      <c r="G819" s="8" t="s">
        <v>22</v>
      </c>
      <c r="H819" s="8" t="s">
        <v>3245</v>
      </c>
      <c r="I819" s="8" t="s">
        <v>286</v>
      </c>
      <c r="J819" s="8" t="s">
        <v>58</v>
      </c>
      <c r="K819" s="6"/>
      <c r="L819" s="7">
        <v>45664</v>
      </c>
      <c r="M819" s="6" t="s">
        <v>32</v>
      </c>
      <c r="N819" s="8" t="s">
        <v>3246</v>
      </c>
      <c r="O819" s="6">
        <f>HYPERLINK("https://docs.wto.org/imrd/directdoc.asp?DDFDocuments/t/G/TBTN24/ARE641.DOCX", "https://docs.wto.org/imrd/directdoc.asp?DDFDocuments/t/G/TBTN24/ARE641.DOCX")</f>
      </c>
      <c r="P819" s="6">
        <f>HYPERLINK("https://docs.wto.org/imrd/directdoc.asp?DDFDocuments/u/G/TBTN24/ARE641.DOCX", "https://docs.wto.org/imrd/directdoc.asp?DDFDocuments/u/G/TBTN24/ARE641.DOCX")</f>
      </c>
      <c r="Q819" s="6">
        <f>HYPERLINK("https://docs.wto.org/imrd/directdoc.asp?DDFDocuments/v/G/TBTN24/ARE641.DOCX", "https://docs.wto.org/imrd/directdoc.asp?DDFDocuments/v/G/TBTN24/ARE641.DOCX")</f>
      </c>
    </row>
    <row r="820">
      <c r="A820" s="6" t="s">
        <v>472</v>
      </c>
      <c r="B820" s="7">
        <v>45604</v>
      </c>
      <c r="C820" s="9">
        <f>HYPERLINK("https://eping.wto.org/en/Search?viewData= G/SPS/N/JPN/1308"," G/SPS/N/JPN/1308")</f>
      </c>
      <c r="D820" s="8" t="s">
        <v>3190</v>
      </c>
      <c r="E820" s="8" t="s">
        <v>3247</v>
      </c>
      <c r="F820" s="8" t="s">
        <v>3248</v>
      </c>
      <c r="G820" s="8" t="s">
        <v>3249</v>
      </c>
      <c r="H820" s="8" t="s">
        <v>22</v>
      </c>
      <c r="I820" s="8" t="s">
        <v>120</v>
      </c>
      <c r="J820" s="8" t="s">
        <v>121</v>
      </c>
      <c r="K820" s="6" t="s">
        <v>22</v>
      </c>
      <c r="L820" s="7">
        <v>45664</v>
      </c>
      <c r="M820" s="6" t="s">
        <v>32</v>
      </c>
      <c r="N820" s="8" t="s">
        <v>3250</v>
      </c>
      <c r="O820" s="6">
        <f>HYPERLINK("https://docs.wto.org/imrd/directdoc.asp?DDFDocuments/t/G/SPS/NJPN1308.DOCX", "https://docs.wto.org/imrd/directdoc.asp?DDFDocuments/t/G/SPS/NJPN1308.DOCX")</f>
      </c>
      <c r="P820" s="6">
        <f>HYPERLINK("https://docs.wto.org/imrd/directdoc.asp?DDFDocuments/u/G/SPS/NJPN1308.DOCX", "https://docs.wto.org/imrd/directdoc.asp?DDFDocuments/u/G/SPS/NJPN1308.DOCX")</f>
      </c>
      <c r="Q820" s="6">
        <f>HYPERLINK("https://docs.wto.org/imrd/directdoc.asp?DDFDocuments/v/G/SPS/NJPN1308.DOCX", "https://docs.wto.org/imrd/directdoc.asp?DDFDocuments/v/G/SPS/NJPN1308.DOCX")</f>
      </c>
    </row>
    <row r="821">
      <c r="A821" s="6" t="s">
        <v>472</v>
      </c>
      <c r="B821" s="7">
        <v>45604</v>
      </c>
      <c r="C821" s="9">
        <f>HYPERLINK("https://eping.wto.org/en/Search?viewData= G/SPS/N/JPN/1310"," G/SPS/N/JPN/1310")</f>
      </c>
      <c r="D821" s="8" t="s">
        <v>3190</v>
      </c>
      <c r="E821" s="8" t="s">
        <v>3251</v>
      </c>
      <c r="F821" s="8" t="s">
        <v>3252</v>
      </c>
      <c r="G821" s="8" t="s">
        <v>3253</v>
      </c>
      <c r="H821" s="8" t="s">
        <v>22</v>
      </c>
      <c r="I821" s="8" t="s">
        <v>120</v>
      </c>
      <c r="J821" s="8" t="s">
        <v>969</v>
      </c>
      <c r="K821" s="6" t="s">
        <v>22</v>
      </c>
      <c r="L821" s="7">
        <v>45664</v>
      </c>
      <c r="M821" s="6" t="s">
        <v>32</v>
      </c>
      <c r="N821" s="8" t="s">
        <v>3254</v>
      </c>
      <c r="O821" s="6">
        <f>HYPERLINK("https://docs.wto.org/imrd/directdoc.asp?DDFDocuments/t/G/SPS/NJPN1310.DOCX", "https://docs.wto.org/imrd/directdoc.asp?DDFDocuments/t/G/SPS/NJPN1310.DOCX")</f>
      </c>
      <c r="P821" s="6">
        <f>HYPERLINK("https://docs.wto.org/imrd/directdoc.asp?DDFDocuments/u/G/SPS/NJPN1310.DOCX", "https://docs.wto.org/imrd/directdoc.asp?DDFDocuments/u/G/SPS/NJPN1310.DOCX")</f>
      </c>
      <c r="Q821" s="6">
        <f>HYPERLINK("https://docs.wto.org/imrd/directdoc.asp?DDFDocuments/v/G/SPS/NJPN1310.DOCX", "https://docs.wto.org/imrd/directdoc.asp?DDFDocuments/v/G/SPS/NJPN1310.DOCX")</f>
      </c>
    </row>
    <row r="822">
      <c r="A822" s="6" t="s">
        <v>3255</v>
      </c>
      <c r="B822" s="7">
        <v>45604</v>
      </c>
      <c r="C822" s="9">
        <f>HYPERLINK("https://eping.wto.org/en/Search?viewData= G/TBT/N/ARE/641, G/TBT/N/BHR/726, G/TBT/N/KWT/706, G/TBT/N/OMN/549, G/TBT/N/QAT/700, G/TBT/N/SAU/1370, G/TBT/N/YEM/306"," G/TBT/N/ARE/641, G/TBT/N/BHR/726, G/TBT/N/KWT/706, G/TBT/N/OMN/549, G/TBT/N/QAT/700, G/TBT/N/SAU/1370, G/TBT/N/YEM/306")</f>
      </c>
      <c r="D822" s="8" t="s">
        <v>3242</v>
      </c>
      <c r="E822" s="8" t="s">
        <v>3243</v>
      </c>
      <c r="F822" s="8" t="s">
        <v>3244</v>
      </c>
      <c r="G822" s="8" t="s">
        <v>22</v>
      </c>
      <c r="H822" s="8" t="s">
        <v>3245</v>
      </c>
      <c r="I822" s="8" t="s">
        <v>286</v>
      </c>
      <c r="J822" s="8" t="s">
        <v>58</v>
      </c>
      <c r="K822" s="6"/>
      <c r="L822" s="7">
        <v>45664</v>
      </c>
      <c r="M822" s="6" t="s">
        <v>32</v>
      </c>
      <c r="N822" s="8" t="s">
        <v>3246</v>
      </c>
      <c r="O822" s="6">
        <f>HYPERLINK("https://docs.wto.org/imrd/directdoc.asp?DDFDocuments/t/G/TBTN24/ARE641.DOCX", "https://docs.wto.org/imrd/directdoc.asp?DDFDocuments/t/G/TBTN24/ARE641.DOCX")</f>
      </c>
      <c r="P822" s="6">
        <f>HYPERLINK("https://docs.wto.org/imrd/directdoc.asp?DDFDocuments/u/G/TBTN24/ARE641.DOCX", "https://docs.wto.org/imrd/directdoc.asp?DDFDocuments/u/G/TBTN24/ARE641.DOCX")</f>
      </c>
      <c r="Q822" s="6">
        <f>HYPERLINK("https://docs.wto.org/imrd/directdoc.asp?DDFDocuments/v/G/TBTN24/ARE641.DOCX", "https://docs.wto.org/imrd/directdoc.asp?DDFDocuments/v/G/TBTN24/ARE641.DOCX")</f>
      </c>
    </row>
    <row r="823">
      <c r="A823" s="6" t="s">
        <v>226</v>
      </c>
      <c r="B823" s="7">
        <v>45604</v>
      </c>
      <c r="C823" s="9">
        <f>HYPERLINK("https://eping.wto.org/en/Search?viewData= G/TBT/N/ARE/639/Corr.1, G/TBT/N/BHR/724/Corr.1, G/TBT/N/KWT/704/Corr.1, G/TBT/N/OMN/547/Corr.1, G/TBT/N/QAT/698/Corr.1, G/TBT/N/SAU/1368/Corr.1, G/TBT/N/YEM/304/Corr.1"," G/TBT/N/ARE/639/Corr.1, G/TBT/N/BHR/724/Corr.1, G/TBT/N/KWT/704/Corr.1, G/TBT/N/OMN/547/Corr.1, G/TBT/N/QAT/698/Corr.1, G/TBT/N/SAU/1368/Corr.1, G/TBT/N/YEM/304/Corr.1")</f>
      </c>
      <c r="D823" s="8" t="s">
        <v>3220</v>
      </c>
      <c r="E823" s="8" t="s">
        <v>3221</v>
      </c>
      <c r="F823" s="8" t="s">
        <v>3222</v>
      </c>
      <c r="G823" s="8" t="s">
        <v>3223</v>
      </c>
      <c r="H823" s="8" t="s">
        <v>2612</v>
      </c>
      <c r="I823" s="8" t="s">
        <v>286</v>
      </c>
      <c r="J823" s="8" t="s">
        <v>81</v>
      </c>
      <c r="K823" s="6"/>
      <c r="L823" s="7" t="s">
        <v>22</v>
      </c>
      <c r="M823" s="6" t="s">
        <v>248</v>
      </c>
      <c r="N823" s="6"/>
      <c r="O823" s="6">
        <f>HYPERLINK("https://docs.wto.org/imrd/directdoc.asp?DDFDocuments/t/G/TBTN24/ARE639C1.DOCX", "https://docs.wto.org/imrd/directdoc.asp?DDFDocuments/t/G/TBTN24/ARE639C1.DOCX")</f>
      </c>
      <c r="P823" s="6">
        <f>HYPERLINK("https://docs.wto.org/imrd/directdoc.asp?DDFDocuments/u/G/TBTN24/ARE639C1.DOCX", "https://docs.wto.org/imrd/directdoc.asp?DDFDocuments/u/G/TBTN24/ARE639C1.DOCX")</f>
      </c>
      <c r="Q823" s="6">
        <f>HYPERLINK("https://docs.wto.org/imrd/directdoc.asp?DDFDocuments/v/G/TBTN24/ARE639C1.DOCX", "https://docs.wto.org/imrd/directdoc.asp?DDFDocuments/v/G/TBTN24/ARE639C1.DOCX")</f>
      </c>
    </row>
    <row r="824">
      <c r="A824" s="6" t="s">
        <v>360</v>
      </c>
      <c r="B824" s="7">
        <v>45604</v>
      </c>
      <c r="C824" s="9">
        <f>HYPERLINK("https://eping.wto.org/en/Search?viewData= G/TBT/N/CHL/708"," G/TBT/N/CHL/708")</f>
      </c>
      <c r="D824" s="8" t="s">
        <v>3256</v>
      </c>
      <c r="E824" s="8" t="s">
        <v>3257</v>
      </c>
      <c r="F824" s="8" t="s">
        <v>3258</v>
      </c>
      <c r="G824" s="8" t="s">
        <v>22</v>
      </c>
      <c r="H824" s="8" t="s">
        <v>22</v>
      </c>
      <c r="I824" s="8" t="s">
        <v>203</v>
      </c>
      <c r="J824" s="8" t="s">
        <v>22</v>
      </c>
      <c r="K824" s="6"/>
      <c r="L824" s="7">
        <v>45664</v>
      </c>
      <c r="M824" s="6" t="s">
        <v>32</v>
      </c>
      <c r="N824" s="6"/>
      <c r="O824" s="6">
        <f>HYPERLINK("https://docs.wto.org/imrd/directdoc.asp?DDFDocuments/t/G/TBTN24/CHL708.DOCX", "https://docs.wto.org/imrd/directdoc.asp?DDFDocuments/t/G/TBTN24/CHL708.DOCX")</f>
      </c>
      <c r="P824" s="6">
        <f>HYPERLINK("https://docs.wto.org/imrd/directdoc.asp?DDFDocuments/u/G/TBTN24/CHL708.DOCX", "https://docs.wto.org/imrd/directdoc.asp?DDFDocuments/u/G/TBTN24/CHL708.DOCX")</f>
      </c>
      <c r="Q824" s="6">
        <f>HYPERLINK("https://docs.wto.org/imrd/directdoc.asp?DDFDocuments/v/G/TBTN24/CHL708.DOCX", "https://docs.wto.org/imrd/directdoc.asp?DDFDocuments/v/G/TBTN24/CHL708.DOCX")</f>
      </c>
    </row>
    <row r="825">
      <c r="A825" s="6" t="s">
        <v>874</v>
      </c>
      <c r="B825" s="7">
        <v>45604</v>
      </c>
      <c r="C825" s="9">
        <f>HYPERLINK("https://eping.wto.org/en/Search?viewData= G/TBT/N/PHL/338"," G/TBT/N/PHL/338")</f>
      </c>
      <c r="D825" s="8" t="s">
        <v>3259</v>
      </c>
      <c r="E825" s="8" t="s">
        <v>3260</v>
      </c>
      <c r="F825" s="8" t="s">
        <v>3261</v>
      </c>
      <c r="G825" s="8" t="s">
        <v>22</v>
      </c>
      <c r="H825" s="8" t="s">
        <v>2863</v>
      </c>
      <c r="I825" s="8" t="s">
        <v>3262</v>
      </c>
      <c r="J825" s="8" t="s">
        <v>22</v>
      </c>
      <c r="K825" s="6"/>
      <c r="L825" s="7">
        <v>45611</v>
      </c>
      <c r="M825" s="6" t="s">
        <v>32</v>
      </c>
      <c r="N825" s="8" t="s">
        <v>3263</v>
      </c>
      <c r="O825" s="6">
        <f>HYPERLINK("https://docs.wto.org/imrd/directdoc.asp?DDFDocuments/t/G/TBTN24/PHL338.DOCX", "https://docs.wto.org/imrd/directdoc.asp?DDFDocuments/t/G/TBTN24/PHL338.DOCX")</f>
      </c>
      <c r="P825" s="6">
        <f>HYPERLINK("https://docs.wto.org/imrd/directdoc.asp?DDFDocuments/u/G/TBTN24/PHL338.DOCX", "https://docs.wto.org/imrd/directdoc.asp?DDFDocuments/u/G/TBTN24/PHL338.DOCX")</f>
      </c>
      <c r="Q825" s="6">
        <f>HYPERLINK("https://docs.wto.org/imrd/directdoc.asp?DDFDocuments/v/G/TBTN24/PHL338.DOCX", "https://docs.wto.org/imrd/directdoc.asp?DDFDocuments/v/G/TBTN24/PHL338.DOCX")</f>
      </c>
    </row>
    <row r="826">
      <c r="A826" s="6" t="s">
        <v>1982</v>
      </c>
      <c r="B826" s="7">
        <v>45604</v>
      </c>
      <c r="C826" s="9">
        <f>HYPERLINK("https://eping.wto.org/en/Search?viewData= G/TBT/N/ARE/639/Corr.1, G/TBT/N/BHR/724/Corr.1, G/TBT/N/KWT/704/Corr.1, G/TBT/N/OMN/547/Corr.1, G/TBT/N/QAT/698/Corr.1, G/TBT/N/SAU/1368/Corr.1, G/TBT/N/YEM/304/Corr.1"," G/TBT/N/ARE/639/Corr.1, G/TBT/N/BHR/724/Corr.1, G/TBT/N/KWT/704/Corr.1, G/TBT/N/OMN/547/Corr.1, G/TBT/N/QAT/698/Corr.1, G/TBT/N/SAU/1368/Corr.1, G/TBT/N/YEM/304/Corr.1")</f>
      </c>
      <c r="D826" s="8" t="s">
        <v>3220</v>
      </c>
      <c r="E826" s="8" t="s">
        <v>3221</v>
      </c>
      <c r="F826" s="8" t="s">
        <v>3222</v>
      </c>
      <c r="G826" s="8" t="s">
        <v>3223</v>
      </c>
      <c r="H826" s="8" t="s">
        <v>2612</v>
      </c>
      <c r="I826" s="8" t="s">
        <v>286</v>
      </c>
      <c r="J826" s="8" t="s">
        <v>81</v>
      </c>
      <c r="K826" s="6"/>
      <c r="L826" s="7" t="s">
        <v>22</v>
      </c>
      <c r="M826" s="6" t="s">
        <v>248</v>
      </c>
      <c r="N826" s="6"/>
      <c r="O826" s="6">
        <f>HYPERLINK("https://docs.wto.org/imrd/directdoc.asp?DDFDocuments/t/G/TBTN24/ARE639C1.DOCX", "https://docs.wto.org/imrd/directdoc.asp?DDFDocuments/t/G/TBTN24/ARE639C1.DOCX")</f>
      </c>
      <c r="P826" s="6">
        <f>HYPERLINK("https://docs.wto.org/imrd/directdoc.asp?DDFDocuments/u/G/TBTN24/ARE639C1.DOCX", "https://docs.wto.org/imrd/directdoc.asp?DDFDocuments/u/G/TBTN24/ARE639C1.DOCX")</f>
      </c>
      <c r="Q826" s="6">
        <f>HYPERLINK("https://docs.wto.org/imrd/directdoc.asp?DDFDocuments/v/G/TBTN24/ARE639C1.DOCX", "https://docs.wto.org/imrd/directdoc.asp?DDFDocuments/v/G/TBTN24/ARE639C1.DOCX")</f>
      </c>
    </row>
    <row r="827">
      <c r="A827" s="6" t="s">
        <v>360</v>
      </c>
      <c r="B827" s="7">
        <v>45604</v>
      </c>
      <c r="C827" s="9">
        <f>HYPERLINK("https://eping.wto.org/en/Search?viewData= G/TBT/N/CHL/710"," G/TBT/N/CHL/710")</f>
      </c>
      <c r="D827" s="8" t="s">
        <v>3264</v>
      </c>
      <c r="E827" s="8" t="s">
        <v>3265</v>
      </c>
      <c r="F827" s="8" t="s">
        <v>3266</v>
      </c>
      <c r="G827" s="8" t="s">
        <v>22</v>
      </c>
      <c r="H827" s="8" t="s">
        <v>22</v>
      </c>
      <c r="I827" s="8" t="s">
        <v>203</v>
      </c>
      <c r="J827" s="8" t="s">
        <v>22</v>
      </c>
      <c r="K827" s="6"/>
      <c r="L827" s="7">
        <v>45664</v>
      </c>
      <c r="M827" s="6" t="s">
        <v>32</v>
      </c>
      <c r="N827" s="6"/>
      <c r="O827" s="6">
        <f>HYPERLINK("https://docs.wto.org/imrd/directdoc.asp?DDFDocuments/t/G/TBTN24/CHL710.DOCX", "https://docs.wto.org/imrd/directdoc.asp?DDFDocuments/t/G/TBTN24/CHL710.DOCX")</f>
      </c>
      <c r="P827" s="6">
        <f>HYPERLINK("https://docs.wto.org/imrd/directdoc.asp?DDFDocuments/u/G/TBTN24/CHL710.DOCX", "https://docs.wto.org/imrd/directdoc.asp?DDFDocuments/u/G/TBTN24/CHL710.DOCX")</f>
      </c>
      <c r="Q827" s="6">
        <f>HYPERLINK("https://docs.wto.org/imrd/directdoc.asp?DDFDocuments/v/G/TBTN24/CHL710.DOCX", "https://docs.wto.org/imrd/directdoc.asp?DDFDocuments/v/G/TBTN24/CHL710.DOCX")</f>
      </c>
    </row>
    <row r="828">
      <c r="A828" s="6" t="s">
        <v>472</v>
      </c>
      <c r="B828" s="7">
        <v>45604</v>
      </c>
      <c r="C828" s="9">
        <f>HYPERLINK("https://eping.wto.org/en/Search?viewData= G/SPS/N/JPN/1313"," G/SPS/N/JPN/1313")</f>
      </c>
      <c r="D828" s="8" t="s">
        <v>3190</v>
      </c>
      <c r="E828" s="8" t="s">
        <v>3267</v>
      </c>
      <c r="F828" s="8" t="s">
        <v>3268</v>
      </c>
      <c r="G828" s="8" t="s">
        <v>3269</v>
      </c>
      <c r="H828" s="8" t="s">
        <v>22</v>
      </c>
      <c r="I828" s="8" t="s">
        <v>120</v>
      </c>
      <c r="J828" s="8" t="s">
        <v>121</v>
      </c>
      <c r="K828" s="6" t="s">
        <v>22</v>
      </c>
      <c r="L828" s="7">
        <v>45664</v>
      </c>
      <c r="M828" s="6" t="s">
        <v>32</v>
      </c>
      <c r="N828" s="8" t="s">
        <v>3270</v>
      </c>
      <c r="O828" s="6">
        <f>HYPERLINK("https://docs.wto.org/imrd/directdoc.asp?DDFDocuments/t/G/SPS/NJPN1313.DOCX", "https://docs.wto.org/imrd/directdoc.asp?DDFDocuments/t/G/SPS/NJPN1313.DOCX")</f>
      </c>
      <c r="P828" s="6">
        <f>HYPERLINK("https://docs.wto.org/imrd/directdoc.asp?DDFDocuments/u/G/SPS/NJPN1313.DOCX", "https://docs.wto.org/imrd/directdoc.asp?DDFDocuments/u/G/SPS/NJPN1313.DOCX")</f>
      </c>
      <c r="Q828" s="6">
        <f>HYPERLINK("https://docs.wto.org/imrd/directdoc.asp?DDFDocuments/v/G/SPS/NJPN1313.DOCX", "https://docs.wto.org/imrd/directdoc.asp?DDFDocuments/v/G/SPS/NJPN1313.DOCX")</f>
      </c>
    </row>
    <row r="829">
      <c r="A829" s="6" t="s">
        <v>3271</v>
      </c>
      <c r="B829" s="7">
        <v>45604</v>
      </c>
      <c r="C829" s="9">
        <f>HYPERLINK("https://eping.wto.org/en/Search?viewData= G/TBT/N/ARE/639/Corr.1, G/TBT/N/BHR/724/Corr.1, G/TBT/N/KWT/704/Corr.1, G/TBT/N/OMN/547/Corr.1, G/TBT/N/QAT/698/Corr.1, G/TBT/N/SAU/1368/Corr.1, G/TBT/N/YEM/304/Corr.1"," G/TBT/N/ARE/639/Corr.1, G/TBT/N/BHR/724/Corr.1, G/TBT/N/KWT/704/Corr.1, G/TBT/N/OMN/547/Corr.1, G/TBT/N/QAT/698/Corr.1, G/TBT/N/SAU/1368/Corr.1, G/TBT/N/YEM/304/Corr.1")</f>
      </c>
      <c r="D829" s="8" t="s">
        <v>3220</v>
      </c>
      <c r="E829" s="8" t="s">
        <v>3221</v>
      </c>
      <c r="F829" s="8" t="s">
        <v>3222</v>
      </c>
      <c r="G829" s="8" t="s">
        <v>3223</v>
      </c>
      <c r="H829" s="8" t="s">
        <v>2612</v>
      </c>
      <c r="I829" s="8" t="s">
        <v>286</v>
      </c>
      <c r="J829" s="8" t="s">
        <v>81</v>
      </c>
      <c r="K829" s="6"/>
      <c r="L829" s="7" t="s">
        <v>22</v>
      </c>
      <c r="M829" s="6" t="s">
        <v>248</v>
      </c>
      <c r="N829" s="6"/>
      <c r="O829" s="6">
        <f>HYPERLINK("https://docs.wto.org/imrd/directdoc.asp?DDFDocuments/t/G/TBTN24/ARE639C1.DOCX", "https://docs.wto.org/imrd/directdoc.asp?DDFDocuments/t/G/TBTN24/ARE639C1.DOCX")</f>
      </c>
      <c r="P829" s="6">
        <f>HYPERLINK("https://docs.wto.org/imrd/directdoc.asp?DDFDocuments/u/G/TBTN24/ARE639C1.DOCX", "https://docs.wto.org/imrd/directdoc.asp?DDFDocuments/u/G/TBTN24/ARE639C1.DOCX")</f>
      </c>
      <c r="Q829" s="6">
        <f>HYPERLINK("https://docs.wto.org/imrd/directdoc.asp?DDFDocuments/v/G/TBTN24/ARE639C1.DOCX", "https://docs.wto.org/imrd/directdoc.asp?DDFDocuments/v/G/TBTN24/ARE639C1.DOCX")</f>
      </c>
    </row>
    <row r="830">
      <c r="A830" s="6" t="s">
        <v>3272</v>
      </c>
      <c r="B830" s="7">
        <v>45604</v>
      </c>
      <c r="C830" s="9">
        <f>HYPERLINK("https://eping.wto.org/en/Search?viewData= G/TBT/N/ARE/639/Corr.1, G/TBT/N/BHR/724/Corr.1, G/TBT/N/KWT/704/Corr.1, G/TBT/N/OMN/547/Corr.1, G/TBT/N/QAT/698/Corr.1, G/TBT/N/SAU/1368/Corr.1, G/TBT/N/YEM/304/Corr.1"," G/TBT/N/ARE/639/Corr.1, G/TBT/N/BHR/724/Corr.1, G/TBT/N/KWT/704/Corr.1, G/TBT/N/OMN/547/Corr.1, G/TBT/N/QAT/698/Corr.1, G/TBT/N/SAU/1368/Corr.1, G/TBT/N/YEM/304/Corr.1")</f>
      </c>
      <c r="D830" s="8" t="s">
        <v>3220</v>
      </c>
      <c r="E830" s="8" t="s">
        <v>3221</v>
      </c>
      <c r="F830" s="8" t="s">
        <v>3222</v>
      </c>
      <c r="G830" s="8" t="s">
        <v>3223</v>
      </c>
      <c r="H830" s="8" t="s">
        <v>2612</v>
      </c>
      <c r="I830" s="8" t="s">
        <v>286</v>
      </c>
      <c r="J830" s="8" t="s">
        <v>81</v>
      </c>
      <c r="K830" s="6"/>
      <c r="L830" s="7" t="s">
        <v>22</v>
      </c>
      <c r="M830" s="6" t="s">
        <v>248</v>
      </c>
      <c r="N830" s="6"/>
      <c r="O830" s="6">
        <f>HYPERLINK("https://docs.wto.org/imrd/directdoc.asp?DDFDocuments/t/G/TBTN24/ARE639C1.DOCX", "https://docs.wto.org/imrd/directdoc.asp?DDFDocuments/t/G/TBTN24/ARE639C1.DOCX")</f>
      </c>
      <c r="P830" s="6">
        <f>HYPERLINK("https://docs.wto.org/imrd/directdoc.asp?DDFDocuments/u/G/TBTN24/ARE639C1.DOCX", "https://docs.wto.org/imrd/directdoc.asp?DDFDocuments/u/G/TBTN24/ARE639C1.DOCX")</f>
      </c>
      <c r="Q830" s="6">
        <f>HYPERLINK("https://docs.wto.org/imrd/directdoc.asp?DDFDocuments/v/G/TBTN24/ARE639C1.DOCX", "https://docs.wto.org/imrd/directdoc.asp?DDFDocuments/v/G/TBTN24/ARE639C1.DOCX")</f>
      </c>
    </row>
    <row r="831">
      <c r="A831" s="6" t="s">
        <v>226</v>
      </c>
      <c r="B831" s="7">
        <v>45604</v>
      </c>
      <c r="C831" s="9">
        <f>HYPERLINK("https://eping.wto.org/en/Search?viewData= G/TBT/N/ARE/641, G/TBT/N/BHR/726, G/TBT/N/KWT/706, G/TBT/N/OMN/549, G/TBT/N/QAT/700, G/TBT/N/SAU/1370, G/TBT/N/YEM/306"," G/TBT/N/ARE/641, G/TBT/N/BHR/726, G/TBT/N/KWT/706, G/TBT/N/OMN/549, G/TBT/N/QAT/700, G/TBT/N/SAU/1370, G/TBT/N/YEM/306")</f>
      </c>
      <c r="D831" s="8" t="s">
        <v>3242</v>
      </c>
      <c r="E831" s="8" t="s">
        <v>3243</v>
      </c>
      <c r="F831" s="8" t="s">
        <v>3244</v>
      </c>
      <c r="G831" s="8" t="s">
        <v>22</v>
      </c>
      <c r="H831" s="8" t="s">
        <v>3245</v>
      </c>
      <c r="I831" s="8" t="s">
        <v>286</v>
      </c>
      <c r="J831" s="8" t="s">
        <v>58</v>
      </c>
      <c r="K831" s="6"/>
      <c r="L831" s="7">
        <v>45664</v>
      </c>
      <c r="M831" s="6" t="s">
        <v>32</v>
      </c>
      <c r="N831" s="8" t="s">
        <v>3246</v>
      </c>
      <c r="O831" s="6">
        <f>HYPERLINK("https://docs.wto.org/imrd/directdoc.asp?DDFDocuments/t/G/TBTN24/ARE641.DOCX", "https://docs.wto.org/imrd/directdoc.asp?DDFDocuments/t/G/TBTN24/ARE641.DOCX")</f>
      </c>
      <c r="P831" s="6">
        <f>HYPERLINK("https://docs.wto.org/imrd/directdoc.asp?DDFDocuments/u/G/TBTN24/ARE641.DOCX", "https://docs.wto.org/imrd/directdoc.asp?DDFDocuments/u/G/TBTN24/ARE641.DOCX")</f>
      </c>
      <c r="Q831" s="6">
        <f>HYPERLINK("https://docs.wto.org/imrd/directdoc.asp?DDFDocuments/v/G/TBTN24/ARE641.DOCX", "https://docs.wto.org/imrd/directdoc.asp?DDFDocuments/v/G/TBTN24/ARE641.DOCX")</f>
      </c>
    </row>
    <row r="832">
      <c r="A832" s="6" t="s">
        <v>360</v>
      </c>
      <c r="B832" s="7">
        <v>45604</v>
      </c>
      <c r="C832" s="9">
        <f>HYPERLINK("https://eping.wto.org/en/Search?viewData= G/TBT/N/CHL/709"," G/TBT/N/CHL/709")</f>
      </c>
      <c r="D832" s="8" t="s">
        <v>3273</v>
      </c>
      <c r="E832" s="8" t="s">
        <v>3274</v>
      </c>
      <c r="F832" s="8" t="s">
        <v>3266</v>
      </c>
      <c r="G832" s="8" t="s">
        <v>22</v>
      </c>
      <c r="H832" s="8" t="s">
        <v>22</v>
      </c>
      <c r="I832" s="8" t="s">
        <v>203</v>
      </c>
      <c r="J832" s="8" t="s">
        <v>22</v>
      </c>
      <c r="K832" s="6"/>
      <c r="L832" s="7">
        <v>45664</v>
      </c>
      <c r="M832" s="6" t="s">
        <v>32</v>
      </c>
      <c r="N832" s="6"/>
      <c r="O832" s="6">
        <f>HYPERLINK("https://docs.wto.org/imrd/directdoc.asp?DDFDocuments/t/G/TBTN24/CHL709.DOCX", "https://docs.wto.org/imrd/directdoc.asp?DDFDocuments/t/G/TBTN24/CHL709.DOCX")</f>
      </c>
      <c r="P832" s="6">
        <f>HYPERLINK("https://docs.wto.org/imrd/directdoc.asp?DDFDocuments/u/G/TBTN24/CHL709.DOCX", "https://docs.wto.org/imrd/directdoc.asp?DDFDocuments/u/G/TBTN24/CHL709.DOCX")</f>
      </c>
      <c r="Q832" s="6">
        <f>HYPERLINK("https://docs.wto.org/imrd/directdoc.asp?DDFDocuments/v/G/TBTN24/CHL709.DOCX", "https://docs.wto.org/imrd/directdoc.asp?DDFDocuments/v/G/TBTN24/CHL709.DOCX")</f>
      </c>
    </row>
    <row r="833">
      <c r="A833" s="6" t="s">
        <v>944</v>
      </c>
      <c r="B833" s="7">
        <v>45604</v>
      </c>
      <c r="C833" s="9">
        <f>HYPERLINK("https://eping.wto.org/en/Search?viewData= G/TBT/N/URY/97"," G/TBT/N/URY/97")</f>
      </c>
      <c r="D833" s="8" t="s">
        <v>3275</v>
      </c>
      <c r="E833" s="8" t="s">
        <v>3276</v>
      </c>
      <c r="F833" s="8" t="s">
        <v>3277</v>
      </c>
      <c r="G833" s="8" t="s">
        <v>3278</v>
      </c>
      <c r="H833" s="8" t="s">
        <v>1447</v>
      </c>
      <c r="I833" s="8" t="s">
        <v>39</v>
      </c>
      <c r="J833" s="8" t="s">
        <v>139</v>
      </c>
      <c r="K833" s="6"/>
      <c r="L833" s="7" t="s">
        <v>22</v>
      </c>
      <c r="M833" s="6" t="s">
        <v>32</v>
      </c>
      <c r="N833" s="8" t="s">
        <v>3279</v>
      </c>
      <c r="O833" s="6">
        <f>HYPERLINK("https://docs.wto.org/imrd/directdoc.asp?DDFDocuments/t/G/TBTN24/URY97.DOCX", "https://docs.wto.org/imrd/directdoc.asp?DDFDocuments/t/G/TBTN24/URY97.DOCX")</f>
      </c>
      <c r="P833" s="6">
        <f>HYPERLINK("https://docs.wto.org/imrd/directdoc.asp?DDFDocuments/u/G/TBTN24/URY97.DOCX", "https://docs.wto.org/imrd/directdoc.asp?DDFDocuments/u/G/TBTN24/URY97.DOCX")</f>
      </c>
      <c r="Q833" s="6">
        <f>HYPERLINK("https://docs.wto.org/imrd/directdoc.asp?DDFDocuments/v/G/TBTN24/URY97.DOCX", "https://docs.wto.org/imrd/directdoc.asp?DDFDocuments/v/G/TBTN24/URY97.DOCX")</f>
      </c>
    </row>
    <row r="834">
      <c r="A834" s="6" t="s">
        <v>3255</v>
      </c>
      <c r="B834" s="7">
        <v>45604</v>
      </c>
      <c r="C834" s="9">
        <f>HYPERLINK("https://eping.wto.org/en/Search?viewData= G/TBT/N/ARE/639/Corr.1, G/TBT/N/BHR/724/Corr.1, G/TBT/N/KWT/704/Corr.1, G/TBT/N/OMN/547/Corr.1, G/TBT/N/QAT/698/Corr.1, G/TBT/N/SAU/1368/Corr.1, G/TBT/N/YEM/304/Corr.1"," G/TBT/N/ARE/639/Corr.1, G/TBT/N/BHR/724/Corr.1, G/TBT/N/KWT/704/Corr.1, G/TBT/N/OMN/547/Corr.1, G/TBT/N/QAT/698/Corr.1, G/TBT/N/SAU/1368/Corr.1, G/TBT/N/YEM/304/Corr.1")</f>
      </c>
      <c r="D834" s="8" t="s">
        <v>3220</v>
      </c>
      <c r="E834" s="8" t="s">
        <v>3221</v>
      </c>
      <c r="F834" s="8" t="s">
        <v>3222</v>
      </c>
      <c r="G834" s="8" t="s">
        <v>3223</v>
      </c>
      <c r="H834" s="8" t="s">
        <v>2612</v>
      </c>
      <c r="I834" s="8" t="s">
        <v>286</v>
      </c>
      <c r="J834" s="8" t="s">
        <v>81</v>
      </c>
      <c r="K834" s="6"/>
      <c r="L834" s="7" t="s">
        <v>22</v>
      </c>
      <c r="M834" s="6" t="s">
        <v>248</v>
      </c>
      <c r="N834" s="6"/>
      <c r="O834" s="6">
        <f>HYPERLINK("https://docs.wto.org/imrd/directdoc.asp?DDFDocuments/t/G/TBTN24/ARE639C1.DOCX", "https://docs.wto.org/imrd/directdoc.asp?DDFDocuments/t/G/TBTN24/ARE639C1.DOCX")</f>
      </c>
      <c r="P834" s="6">
        <f>HYPERLINK("https://docs.wto.org/imrd/directdoc.asp?DDFDocuments/u/G/TBTN24/ARE639C1.DOCX", "https://docs.wto.org/imrd/directdoc.asp?DDFDocuments/u/G/TBTN24/ARE639C1.DOCX")</f>
      </c>
      <c r="Q834" s="6">
        <f>HYPERLINK("https://docs.wto.org/imrd/directdoc.asp?DDFDocuments/v/G/TBTN24/ARE639C1.DOCX", "https://docs.wto.org/imrd/directdoc.asp?DDFDocuments/v/G/TBTN24/ARE639C1.DOCX")</f>
      </c>
    </row>
    <row r="835">
      <c r="A835" s="6" t="s">
        <v>3271</v>
      </c>
      <c r="B835" s="7">
        <v>45604</v>
      </c>
      <c r="C835" s="9">
        <f>HYPERLINK("https://eping.wto.org/en/Search?viewData= G/TBT/N/ARE/641, G/TBT/N/BHR/726, G/TBT/N/KWT/706, G/TBT/N/OMN/549, G/TBT/N/QAT/700, G/TBT/N/SAU/1370, G/TBT/N/YEM/306"," G/TBT/N/ARE/641, G/TBT/N/BHR/726, G/TBT/N/KWT/706, G/TBT/N/OMN/549, G/TBT/N/QAT/700, G/TBT/N/SAU/1370, G/TBT/N/YEM/306")</f>
      </c>
      <c r="D835" s="8" t="s">
        <v>3242</v>
      </c>
      <c r="E835" s="8" t="s">
        <v>3243</v>
      </c>
      <c r="F835" s="8" t="s">
        <v>3244</v>
      </c>
      <c r="G835" s="8" t="s">
        <v>22</v>
      </c>
      <c r="H835" s="8" t="s">
        <v>3245</v>
      </c>
      <c r="I835" s="8" t="s">
        <v>286</v>
      </c>
      <c r="J835" s="8" t="s">
        <v>58</v>
      </c>
      <c r="K835" s="6"/>
      <c r="L835" s="7">
        <v>45664</v>
      </c>
      <c r="M835" s="6" t="s">
        <v>32</v>
      </c>
      <c r="N835" s="8" t="s">
        <v>3246</v>
      </c>
      <c r="O835" s="6">
        <f>HYPERLINK("https://docs.wto.org/imrd/directdoc.asp?DDFDocuments/t/G/TBTN24/ARE641.DOCX", "https://docs.wto.org/imrd/directdoc.asp?DDFDocuments/t/G/TBTN24/ARE641.DOCX")</f>
      </c>
      <c r="P835" s="6">
        <f>HYPERLINK("https://docs.wto.org/imrd/directdoc.asp?DDFDocuments/u/G/TBTN24/ARE641.DOCX", "https://docs.wto.org/imrd/directdoc.asp?DDFDocuments/u/G/TBTN24/ARE641.DOCX")</f>
      </c>
      <c r="Q835" s="6">
        <f>HYPERLINK("https://docs.wto.org/imrd/directdoc.asp?DDFDocuments/v/G/TBTN24/ARE641.DOCX", "https://docs.wto.org/imrd/directdoc.asp?DDFDocuments/v/G/TBTN24/ARE641.DOCX")</f>
      </c>
    </row>
    <row r="836">
      <c r="A836" s="6" t="s">
        <v>170</v>
      </c>
      <c r="B836" s="7">
        <v>45604</v>
      </c>
      <c r="C836" s="9">
        <f>HYPERLINK("https://eping.wto.org/en/Search?viewData= G/TBT/N/ARE/641, G/TBT/N/BHR/726, G/TBT/N/KWT/706, G/TBT/N/OMN/549, G/TBT/N/QAT/700, G/TBT/N/SAU/1370, G/TBT/N/YEM/306"," G/TBT/N/ARE/641, G/TBT/N/BHR/726, G/TBT/N/KWT/706, G/TBT/N/OMN/549, G/TBT/N/QAT/700, G/TBT/N/SAU/1370, G/TBT/N/YEM/306")</f>
      </c>
      <c r="D836" s="8" t="s">
        <v>3242</v>
      </c>
      <c r="E836" s="8" t="s">
        <v>3243</v>
      </c>
      <c r="F836" s="8" t="s">
        <v>3244</v>
      </c>
      <c r="G836" s="8" t="s">
        <v>22</v>
      </c>
      <c r="H836" s="8" t="s">
        <v>3245</v>
      </c>
      <c r="I836" s="8" t="s">
        <v>286</v>
      </c>
      <c r="J836" s="8" t="s">
        <v>58</v>
      </c>
      <c r="K836" s="6"/>
      <c r="L836" s="7">
        <v>45664</v>
      </c>
      <c r="M836" s="6" t="s">
        <v>32</v>
      </c>
      <c r="N836" s="8" t="s">
        <v>3246</v>
      </c>
      <c r="O836" s="6">
        <f>HYPERLINK("https://docs.wto.org/imrd/directdoc.asp?DDFDocuments/t/G/TBTN24/ARE641.DOCX", "https://docs.wto.org/imrd/directdoc.asp?DDFDocuments/t/G/TBTN24/ARE641.DOCX")</f>
      </c>
      <c r="P836" s="6">
        <f>HYPERLINK("https://docs.wto.org/imrd/directdoc.asp?DDFDocuments/u/G/TBTN24/ARE641.DOCX", "https://docs.wto.org/imrd/directdoc.asp?DDFDocuments/u/G/TBTN24/ARE641.DOCX")</f>
      </c>
      <c r="Q836" s="6">
        <f>HYPERLINK("https://docs.wto.org/imrd/directdoc.asp?DDFDocuments/v/G/TBTN24/ARE641.DOCX", "https://docs.wto.org/imrd/directdoc.asp?DDFDocuments/v/G/TBTN24/ARE641.DOCX")</f>
      </c>
    </row>
    <row r="837">
      <c r="A837" s="6" t="s">
        <v>3272</v>
      </c>
      <c r="B837" s="7">
        <v>45604</v>
      </c>
      <c r="C837" s="9">
        <f>HYPERLINK("https://eping.wto.org/en/Search?viewData= G/TBT/N/ARE/641, G/TBT/N/BHR/726, G/TBT/N/KWT/706, G/TBT/N/OMN/549, G/TBT/N/QAT/700, G/TBT/N/SAU/1370, G/TBT/N/YEM/306"," G/TBT/N/ARE/641, G/TBT/N/BHR/726, G/TBT/N/KWT/706, G/TBT/N/OMN/549, G/TBT/N/QAT/700, G/TBT/N/SAU/1370, G/TBT/N/YEM/306")</f>
      </c>
      <c r="D837" s="8" t="s">
        <v>3242</v>
      </c>
      <c r="E837" s="8" t="s">
        <v>3243</v>
      </c>
      <c r="F837" s="8" t="s">
        <v>3244</v>
      </c>
      <c r="G837" s="8" t="s">
        <v>22</v>
      </c>
      <c r="H837" s="8" t="s">
        <v>3245</v>
      </c>
      <c r="I837" s="8" t="s">
        <v>286</v>
      </c>
      <c r="J837" s="8" t="s">
        <v>58</v>
      </c>
      <c r="K837" s="6"/>
      <c r="L837" s="7">
        <v>45664</v>
      </c>
      <c r="M837" s="6" t="s">
        <v>32</v>
      </c>
      <c r="N837" s="8" t="s">
        <v>3246</v>
      </c>
      <c r="O837" s="6">
        <f>HYPERLINK("https://docs.wto.org/imrd/directdoc.asp?DDFDocuments/t/G/TBTN24/ARE641.DOCX", "https://docs.wto.org/imrd/directdoc.asp?DDFDocuments/t/G/TBTN24/ARE641.DOCX")</f>
      </c>
      <c r="P837" s="6">
        <f>HYPERLINK("https://docs.wto.org/imrd/directdoc.asp?DDFDocuments/u/G/TBTN24/ARE641.DOCX", "https://docs.wto.org/imrd/directdoc.asp?DDFDocuments/u/G/TBTN24/ARE641.DOCX")</f>
      </c>
      <c r="Q837" s="6">
        <f>HYPERLINK("https://docs.wto.org/imrd/directdoc.asp?DDFDocuments/v/G/TBTN24/ARE641.DOCX", "https://docs.wto.org/imrd/directdoc.asp?DDFDocuments/v/G/TBTN24/ARE641.DOCX")</f>
      </c>
    </row>
    <row r="838">
      <c r="A838" s="6" t="s">
        <v>976</v>
      </c>
      <c r="B838" s="7">
        <v>45604</v>
      </c>
      <c r="C838" s="9">
        <f>HYPERLINK("https://eping.wto.org/en/Search?viewData= G/TBT/N/ARE/641, G/TBT/N/BHR/726, G/TBT/N/KWT/706, G/TBT/N/OMN/549, G/TBT/N/QAT/700, G/TBT/N/SAU/1370, G/TBT/N/YEM/306"," G/TBT/N/ARE/641, G/TBT/N/BHR/726, G/TBT/N/KWT/706, G/TBT/N/OMN/549, G/TBT/N/QAT/700, G/TBT/N/SAU/1370, G/TBT/N/YEM/306")</f>
      </c>
      <c r="D838" s="8" t="s">
        <v>3242</v>
      </c>
      <c r="E838" s="8" t="s">
        <v>3243</v>
      </c>
      <c r="F838" s="8" t="s">
        <v>3244</v>
      </c>
      <c r="G838" s="8" t="s">
        <v>22</v>
      </c>
      <c r="H838" s="8" t="s">
        <v>3245</v>
      </c>
      <c r="I838" s="8" t="s">
        <v>286</v>
      </c>
      <c r="J838" s="8" t="s">
        <v>58</v>
      </c>
      <c r="K838" s="6"/>
      <c r="L838" s="7">
        <v>45664</v>
      </c>
      <c r="M838" s="6" t="s">
        <v>32</v>
      </c>
      <c r="N838" s="8" t="s">
        <v>3246</v>
      </c>
      <c r="O838" s="6">
        <f>HYPERLINK("https://docs.wto.org/imrd/directdoc.asp?DDFDocuments/t/G/TBTN24/ARE641.DOCX", "https://docs.wto.org/imrd/directdoc.asp?DDFDocuments/t/G/TBTN24/ARE641.DOCX")</f>
      </c>
      <c r="P838" s="6">
        <f>HYPERLINK("https://docs.wto.org/imrd/directdoc.asp?DDFDocuments/u/G/TBTN24/ARE641.DOCX", "https://docs.wto.org/imrd/directdoc.asp?DDFDocuments/u/G/TBTN24/ARE641.DOCX")</f>
      </c>
      <c r="Q838" s="6">
        <f>HYPERLINK("https://docs.wto.org/imrd/directdoc.asp?DDFDocuments/v/G/TBTN24/ARE641.DOCX", "https://docs.wto.org/imrd/directdoc.asp?DDFDocuments/v/G/TBTN24/ARE641.DOCX")</f>
      </c>
    </row>
    <row r="839">
      <c r="A839" s="6" t="s">
        <v>472</v>
      </c>
      <c r="B839" s="7">
        <v>45604</v>
      </c>
      <c r="C839" s="9">
        <f>HYPERLINK("https://eping.wto.org/en/Search?viewData= G/SPS/N/JPN/1312"," G/SPS/N/JPN/1312")</f>
      </c>
      <c r="D839" s="8" t="s">
        <v>3190</v>
      </c>
      <c r="E839" s="8" t="s">
        <v>3280</v>
      </c>
      <c r="F839" s="8" t="s">
        <v>3281</v>
      </c>
      <c r="G839" s="8" t="s">
        <v>3282</v>
      </c>
      <c r="H839" s="8" t="s">
        <v>22</v>
      </c>
      <c r="I839" s="8" t="s">
        <v>120</v>
      </c>
      <c r="J839" s="8" t="s">
        <v>969</v>
      </c>
      <c r="K839" s="6" t="s">
        <v>22</v>
      </c>
      <c r="L839" s="7">
        <v>45664</v>
      </c>
      <c r="M839" s="6" t="s">
        <v>32</v>
      </c>
      <c r="N839" s="8" t="s">
        <v>3283</v>
      </c>
      <c r="O839" s="6">
        <f>HYPERLINK("https://docs.wto.org/imrd/directdoc.asp?DDFDocuments/t/G/SPS/NJPN1312.DOCX", "https://docs.wto.org/imrd/directdoc.asp?DDFDocuments/t/G/SPS/NJPN1312.DOCX")</f>
      </c>
      <c r="P839" s="6">
        <f>HYPERLINK("https://docs.wto.org/imrd/directdoc.asp?DDFDocuments/u/G/SPS/NJPN1312.DOCX", "https://docs.wto.org/imrd/directdoc.asp?DDFDocuments/u/G/SPS/NJPN1312.DOCX")</f>
      </c>
      <c r="Q839" s="6">
        <f>HYPERLINK("https://docs.wto.org/imrd/directdoc.asp?DDFDocuments/v/G/SPS/NJPN1312.DOCX", "https://docs.wto.org/imrd/directdoc.asp?DDFDocuments/v/G/SPS/NJPN1312.DOCX")</f>
      </c>
    </row>
    <row r="840">
      <c r="A840" s="6" t="s">
        <v>343</v>
      </c>
      <c r="B840" s="7">
        <v>45603</v>
      </c>
      <c r="C840" s="9">
        <f>HYPERLINK("https://eping.wto.org/en/Search?viewData= G/TBT/N/THA/754"," G/TBT/N/THA/754")</f>
      </c>
      <c r="D840" s="8" t="s">
        <v>3284</v>
      </c>
      <c r="E840" s="8" t="s">
        <v>3285</v>
      </c>
      <c r="F840" s="8" t="s">
        <v>3286</v>
      </c>
      <c r="G840" s="8" t="s">
        <v>22</v>
      </c>
      <c r="H840" s="8" t="s">
        <v>3287</v>
      </c>
      <c r="I840" s="8" t="s">
        <v>641</v>
      </c>
      <c r="J840" s="8" t="s">
        <v>22</v>
      </c>
      <c r="K840" s="6"/>
      <c r="L840" s="7">
        <v>45618</v>
      </c>
      <c r="M840" s="6" t="s">
        <v>32</v>
      </c>
      <c r="N840" s="8" t="s">
        <v>3288</v>
      </c>
      <c r="O840" s="6">
        <f>HYPERLINK("https://docs.wto.org/imrd/directdoc.asp?DDFDocuments/t/G/TBTN24/THA754.DOCX", "https://docs.wto.org/imrd/directdoc.asp?DDFDocuments/t/G/TBTN24/THA754.DOCX")</f>
      </c>
      <c r="P840" s="6">
        <f>HYPERLINK("https://docs.wto.org/imrd/directdoc.asp?DDFDocuments/u/G/TBTN24/THA754.DOCX", "https://docs.wto.org/imrd/directdoc.asp?DDFDocuments/u/G/TBTN24/THA754.DOCX")</f>
      </c>
      <c r="Q840" s="6">
        <f>HYPERLINK("https://docs.wto.org/imrd/directdoc.asp?DDFDocuments/v/G/TBTN24/THA754.DOCX", "https://docs.wto.org/imrd/directdoc.asp?DDFDocuments/v/G/TBTN24/THA754.DOCX")</f>
      </c>
    </row>
    <row r="841">
      <c r="A841" s="6" t="s">
        <v>513</v>
      </c>
      <c r="B841" s="7">
        <v>45603</v>
      </c>
      <c r="C841" s="9">
        <f>HYPERLINK("https://eping.wto.org/en/Search?viewData= G/SPS/N/IND/319"," G/SPS/N/IND/319")</f>
      </c>
      <c r="D841" s="8" t="s">
        <v>3289</v>
      </c>
      <c r="E841" s="8" t="s">
        <v>3290</v>
      </c>
      <c r="F841" s="8" t="s">
        <v>149</v>
      </c>
      <c r="G841" s="8" t="s">
        <v>22</v>
      </c>
      <c r="H841" s="8" t="s">
        <v>22</v>
      </c>
      <c r="I841" s="8" t="s">
        <v>120</v>
      </c>
      <c r="J841" s="8" t="s">
        <v>416</v>
      </c>
      <c r="K841" s="6" t="s">
        <v>22</v>
      </c>
      <c r="L841" s="7">
        <v>45663</v>
      </c>
      <c r="M841" s="6" t="s">
        <v>32</v>
      </c>
      <c r="N841" s="8" t="s">
        <v>3291</v>
      </c>
      <c r="O841" s="6">
        <f>HYPERLINK("https://docs.wto.org/imrd/directdoc.asp?DDFDocuments/t/G/SPS/NIND319.DOCX", "https://docs.wto.org/imrd/directdoc.asp?DDFDocuments/t/G/SPS/NIND319.DOCX")</f>
      </c>
      <c r="P841" s="6">
        <f>HYPERLINK("https://docs.wto.org/imrd/directdoc.asp?DDFDocuments/u/G/SPS/NIND319.DOCX", "https://docs.wto.org/imrd/directdoc.asp?DDFDocuments/u/G/SPS/NIND319.DOCX")</f>
      </c>
      <c r="Q841" s="6">
        <f>HYPERLINK("https://docs.wto.org/imrd/directdoc.asp?DDFDocuments/v/G/SPS/NIND319.DOCX", "https://docs.wto.org/imrd/directdoc.asp?DDFDocuments/v/G/SPS/NIND319.DOCX")</f>
      </c>
    </row>
    <row r="842">
      <c r="A842" s="6" t="s">
        <v>360</v>
      </c>
      <c r="B842" s="7">
        <v>45603</v>
      </c>
      <c r="C842" s="9">
        <f>HYPERLINK("https://eping.wto.org/en/Search?viewData= G/SPS/N/CHL/807"," G/SPS/N/CHL/807")</f>
      </c>
      <c r="D842" s="8" t="s">
        <v>3292</v>
      </c>
      <c r="E842" s="8" t="s">
        <v>3293</v>
      </c>
      <c r="F842" s="8" t="s">
        <v>3294</v>
      </c>
      <c r="G842" s="8" t="s">
        <v>22</v>
      </c>
      <c r="H842" s="8" t="s">
        <v>22</v>
      </c>
      <c r="I842" s="8" t="s">
        <v>128</v>
      </c>
      <c r="J842" s="8" t="s">
        <v>856</v>
      </c>
      <c r="K842" s="6" t="s">
        <v>22</v>
      </c>
      <c r="L842" s="7">
        <v>45663</v>
      </c>
      <c r="M842" s="6" t="s">
        <v>32</v>
      </c>
      <c r="N842" s="8" t="s">
        <v>3295</v>
      </c>
      <c r="O842" s="6">
        <f>HYPERLINK("https://docs.wto.org/imrd/directdoc.asp?DDFDocuments/t/G/SPS/NCHL807.DOCX", "https://docs.wto.org/imrd/directdoc.asp?DDFDocuments/t/G/SPS/NCHL807.DOCX")</f>
      </c>
      <c r="P842" s="6">
        <f>HYPERLINK("https://docs.wto.org/imrd/directdoc.asp?DDFDocuments/u/G/SPS/NCHL807.DOCX", "https://docs.wto.org/imrd/directdoc.asp?DDFDocuments/u/G/SPS/NCHL807.DOCX")</f>
      </c>
      <c r="Q842" s="6">
        <f>HYPERLINK("https://docs.wto.org/imrd/directdoc.asp?DDFDocuments/v/G/SPS/NCHL807.DOCX", "https://docs.wto.org/imrd/directdoc.asp?DDFDocuments/v/G/SPS/NCHL807.DOCX")</f>
      </c>
    </row>
    <row r="843">
      <c r="A843" s="6" t="s">
        <v>513</v>
      </c>
      <c r="B843" s="7">
        <v>45603</v>
      </c>
      <c r="C843" s="9">
        <f>HYPERLINK("https://eping.wto.org/en/Search?viewData= G/SPS/N/IND/317"," G/SPS/N/IND/317")</f>
      </c>
      <c r="D843" s="8" t="s">
        <v>3296</v>
      </c>
      <c r="E843" s="8" t="s">
        <v>3297</v>
      </c>
      <c r="F843" s="8" t="s">
        <v>149</v>
      </c>
      <c r="G843" s="8" t="s">
        <v>22</v>
      </c>
      <c r="H843" s="8" t="s">
        <v>22</v>
      </c>
      <c r="I843" s="8" t="s">
        <v>120</v>
      </c>
      <c r="J843" s="8" t="s">
        <v>416</v>
      </c>
      <c r="K843" s="6" t="s">
        <v>22</v>
      </c>
      <c r="L843" s="7">
        <v>45663</v>
      </c>
      <c r="M843" s="6" t="s">
        <v>32</v>
      </c>
      <c r="N843" s="8" t="s">
        <v>3298</v>
      </c>
      <c r="O843" s="6">
        <f>HYPERLINK("https://docs.wto.org/imrd/directdoc.asp?DDFDocuments/t/G/SPS/NIND317.DOCX", "https://docs.wto.org/imrd/directdoc.asp?DDFDocuments/t/G/SPS/NIND317.DOCX")</f>
      </c>
      <c r="P843" s="6">
        <f>HYPERLINK("https://docs.wto.org/imrd/directdoc.asp?DDFDocuments/u/G/SPS/NIND317.DOCX", "https://docs.wto.org/imrd/directdoc.asp?DDFDocuments/u/G/SPS/NIND317.DOCX")</f>
      </c>
      <c r="Q843" s="6">
        <f>HYPERLINK("https://docs.wto.org/imrd/directdoc.asp?DDFDocuments/v/G/SPS/NIND317.DOCX", "https://docs.wto.org/imrd/directdoc.asp?DDFDocuments/v/G/SPS/NIND317.DOCX")</f>
      </c>
    </row>
    <row r="844">
      <c r="A844" s="6" t="s">
        <v>472</v>
      </c>
      <c r="B844" s="7">
        <v>45603</v>
      </c>
      <c r="C844" s="9">
        <f>HYPERLINK("https://eping.wto.org/en/Search?viewData= G/TBT/N/JPN/841"," G/TBT/N/JPN/841")</f>
      </c>
      <c r="D844" s="8" t="s">
        <v>3299</v>
      </c>
      <c r="E844" s="8" t="s">
        <v>3300</v>
      </c>
      <c r="F844" s="8" t="s">
        <v>3301</v>
      </c>
      <c r="G844" s="8" t="s">
        <v>22</v>
      </c>
      <c r="H844" s="8" t="s">
        <v>1169</v>
      </c>
      <c r="I844" s="8" t="s">
        <v>138</v>
      </c>
      <c r="J844" s="8" t="s">
        <v>139</v>
      </c>
      <c r="K844" s="6"/>
      <c r="L844" s="7" t="s">
        <v>22</v>
      </c>
      <c r="M844" s="6" t="s">
        <v>32</v>
      </c>
      <c r="N844" s="8" t="s">
        <v>3302</v>
      </c>
      <c r="O844" s="6">
        <f>HYPERLINK("https://docs.wto.org/imrd/directdoc.asp?DDFDocuments/t/G/TBTN24/JPN841.DOCX", "https://docs.wto.org/imrd/directdoc.asp?DDFDocuments/t/G/TBTN24/JPN841.DOCX")</f>
      </c>
      <c r="P844" s="6">
        <f>HYPERLINK("https://docs.wto.org/imrd/directdoc.asp?DDFDocuments/u/G/TBTN24/JPN841.DOCX", "https://docs.wto.org/imrd/directdoc.asp?DDFDocuments/u/G/TBTN24/JPN841.DOCX")</f>
      </c>
      <c r="Q844" s="6">
        <f>HYPERLINK("https://docs.wto.org/imrd/directdoc.asp?DDFDocuments/v/G/TBTN24/JPN841.DOCX", "https://docs.wto.org/imrd/directdoc.asp?DDFDocuments/v/G/TBTN24/JPN841.DOCX")</f>
      </c>
    </row>
    <row r="845">
      <c r="A845" s="6" t="s">
        <v>26</v>
      </c>
      <c r="B845" s="7">
        <v>45603</v>
      </c>
      <c r="C845" s="9">
        <f>HYPERLINK("https://eping.wto.org/en/Search?viewData= G/TBT/N/BDI/527, G/TBT/N/KEN/1700, G/TBT/N/RWA/1094, G/TBT/N/TZA/1210, G/TBT/N/UGA/2037"," G/TBT/N/BDI/527, G/TBT/N/KEN/1700, G/TBT/N/RWA/1094, G/TBT/N/TZA/1210, G/TBT/N/UGA/2037")</f>
      </c>
      <c r="D845" s="8" t="s">
        <v>3303</v>
      </c>
      <c r="E845" s="8" t="s">
        <v>3304</v>
      </c>
      <c r="F845" s="8" t="s">
        <v>3305</v>
      </c>
      <c r="G845" s="8" t="s">
        <v>3306</v>
      </c>
      <c r="H845" s="8" t="s">
        <v>3307</v>
      </c>
      <c r="I845" s="8" t="s">
        <v>3308</v>
      </c>
      <c r="J845" s="8" t="s">
        <v>139</v>
      </c>
      <c r="K845" s="6"/>
      <c r="L845" s="7">
        <v>45663</v>
      </c>
      <c r="M845" s="6" t="s">
        <v>32</v>
      </c>
      <c r="N845" s="8" t="s">
        <v>3309</v>
      </c>
      <c r="O845" s="6">
        <f>HYPERLINK("https://docs.wto.org/imrd/directdoc.asp?DDFDocuments/t/G/TBTN24/BDI527.DOCX", "https://docs.wto.org/imrd/directdoc.asp?DDFDocuments/t/G/TBTN24/BDI527.DOCX")</f>
      </c>
      <c r="P845" s="6">
        <f>HYPERLINK("https://docs.wto.org/imrd/directdoc.asp?DDFDocuments/u/G/TBTN24/BDI527.DOCX", "https://docs.wto.org/imrd/directdoc.asp?DDFDocuments/u/G/TBTN24/BDI527.DOCX")</f>
      </c>
      <c r="Q845" s="6">
        <f>HYPERLINK("https://docs.wto.org/imrd/directdoc.asp?DDFDocuments/v/G/TBTN24/BDI527.DOCX", "https://docs.wto.org/imrd/directdoc.asp?DDFDocuments/v/G/TBTN24/BDI527.DOCX")</f>
      </c>
    </row>
    <row r="846">
      <c r="A846" s="6" t="s">
        <v>68</v>
      </c>
      <c r="B846" s="7">
        <v>45603</v>
      </c>
      <c r="C846" s="9">
        <f>HYPERLINK("https://eping.wto.org/en/Search?viewData= G/TBT/N/UGA/2038"," G/TBT/N/UGA/2038")</f>
      </c>
      <c r="D846" s="8" t="s">
        <v>3310</v>
      </c>
      <c r="E846" s="8" t="s">
        <v>3311</v>
      </c>
      <c r="F846" s="8" t="s">
        <v>3312</v>
      </c>
      <c r="G846" s="8" t="s">
        <v>3313</v>
      </c>
      <c r="H846" s="8" t="s">
        <v>3314</v>
      </c>
      <c r="I846" s="8" t="s">
        <v>272</v>
      </c>
      <c r="J846" s="8" t="s">
        <v>22</v>
      </c>
      <c r="K846" s="6"/>
      <c r="L846" s="7">
        <v>45663</v>
      </c>
      <c r="M846" s="6" t="s">
        <v>32</v>
      </c>
      <c r="N846" s="6"/>
      <c r="O846" s="6">
        <f>HYPERLINK("https://docs.wto.org/imrd/directdoc.asp?DDFDocuments/t/G/TBTN24/UGA2038.DOCX", "https://docs.wto.org/imrd/directdoc.asp?DDFDocuments/t/G/TBTN24/UGA2038.DOCX")</f>
      </c>
      <c r="P846" s="6">
        <f>HYPERLINK("https://docs.wto.org/imrd/directdoc.asp?DDFDocuments/u/G/TBTN24/UGA2038.DOCX", "https://docs.wto.org/imrd/directdoc.asp?DDFDocuments/u/G/TBTN24/UGA2038.DOCX")</f>
      </c>
      <c r="Q846" s="6">
        <f>HYPERLINK("https://docs.wto.org/imrd/directdoc.asp?DDFDocuments/v/G/TBTN24/UGA2038.DOCX", "https://docs.wto.org/imrd/directdoc.asp?DDFDocuments/v/G/TBTN24/UGA2038.DOCX")</f>
      </c>
    </row>
    <row r="847">
      <c r="A847" s="6" t="s">
        <v>60</v>
      </c>
      <c r="B847" s="7">
        <v>45603</v>
      </c>
      <c r="C847" s="9">
        <f>HYPERLINK("https://eping.wto.org/en/Search?viewData= G/TBT/N/BDI/527, G/TBT/N/KEN/1700, G/TBT/N/RWA/1094, G/TBT/N/TZA/1210, G/TBT/N/UGA/2037"," G/TBT/N/BDI/527, G/TBT/N/KEN/1700, G/TBT/N/RWA/1094, G/TBT/N/TZA/1210, G/TBT/N/UGA/2037")</f>
      </c>
      <c r="D847" s="8" t="s">
        <v>3303</v>
      </c>
      <c r="E847" s="8" t="s">
        <v>3304</v>
      </c>
      <c r="F847" s="8" t="s">
        <v>3305</v>
      </c>
      <c r="G847" s="8" t="s">
        <v>3306</v>
      </c>
      <c r="H847" s="8" t="s">
        <v>3307</v>
      </c>
      <c r="I847" s="8" t="s">
        <v>3308</v>
      </c>
      <c r="J847" s="8" t="s">
        <v>139</v>
      </c>
      <c r="K847" s="6"/>
      <c r="L847" s="7">
        <v>45663</v>
      </c>
      <c r="M847" s="6" t="s">
        <v>32</v>
      </c>
      <c r="N847" s="8" t="s">
        <v>3309</v>
      </c>
      <c r="O847" s="6">
        <f>HYPERLINK("https://docs.wto.org/imrd/directdoc.asp?DDFDocuments/t/G/TBTN24/BDI527.DOCX", "https://docs.wto.org/imrd/directdoc.asp?DDFDocuments/t/G/TBTN24/BDI527.DOCX")</f>
      </c>
      <c r="P847" s="6">
        <f>HYPERLINK("https://docs.wto.org/imrd/directdoc.asp?DDFDocuments/u/G/TBTN24/BDI527.DOCX", "https://docs.wto.org/imrd/directdoc.asp?DDFDocuments/u/G/TBTN24/BDI527.DOCX")</f>
      </c>
      <c r="Q847" s="6">
        <f>HYPERLINK("https://docs.wto.org/imrd/directdoc.asp?DDFDocuments/v/G/TBTN24/BDI527.DOCX", "https://docs.wto.org/imrd/directdoc.asp?DDFDocuments/v/G/TBTN24/BDI527.DOCX")</f>
      </c>
    </row>
    <row r="848">
      <c r="A848" s="6" t="s">
        <v>646</v>
      </c>
      <c r="B848" s="7">
        <v>45603</v>
      </c>
      <c r="C848" s="9">
        <f>HYPERLINK("https://eping.wto.org/en/Search?viewData= G/TBT/N/COL/251/Add.5"," G/TBT/N/COL/251/Add.5")</f>
      </c>
      <c r="D848" s="8" t="s">
        <v>3315</v>
      </c>
      <c r="E848" s="8" t="s">
        <v>3316</v>
      </c>
      <c r="F848" s="8" t="s">
        <v>3317</v>
      </c>
      <c r="G848" s="8" t="s">
        <v>3318</v>
      </c>
      <c r="H848" s="8" t="s">
        <v>3319</v>
      </c>
      <c r="I848" s="8" t="s">
        <v>823</v>
      </c>
      <c r="J848" s="8" t="s">
        <v>22</v>
      </c>
      <c r="K848" s="6"/>
      <c r="L848" s="7" t="s">
        <v>22</v>
      </c>
      <c r="M848" s="6" t="s">
        <v>40</v>
      </c>
      <c r="N848" s="8" t="s">
        <v>3320</v>
      </c>
      <c r="O848" s="6">
        <f>HYPERLINK("https://docs.wto.org/imrd/directdoc.asp?DDFDocuments/t/G/TBTN21/COL251A5.DOCX", "https://docs.wto.org/imrd/directdoc.asp?DDFDocuments/t/G/TBTN21/COL251A5.DOCX")</f>
      </c>
      <c r="P848" s="6">
        <f>HYPERLINK("https://docs.wto.org/imrd/directdoc.asp?DDFDocuments/u/G/TBTN21/COL251A5.DOCX", "https://docs.wto.org/imrd/directdoc.asp?DDFDocuments/u/G/TBTN21/COL251A5.DOCX")</f>
      </c>
      <c r="Q848" s="6">
        <f>HYPERLINK("https://docs.wto.org/imrd/directdoc.asp?DDFDocuments/v/G/TBTN21/COL251A5.DOCX", "https://docs.wto.org/imrd/directdoc.asp?DDFDocuments/v/G/TBTN21/COL251A5.DOCX")</f>
      </c>
    </row>
    <row r="849">
      <c r="A849" s="6" t="s">
        <v>360</v>
      </c>
      <c r="B849" s="7">
        <v>45603</v>
      </c>
      <c r="C849" s="9">
        <f>HYPERLINK("https://eping.wto.org/en/Search?viewData= G/SPS/N/CHL/808"," G/SPS/N/CHL/808")</f>
      </c>
      <c r="D849" s="8" t="s">
        <v>3321</v>
      </c>
      <c r="E849" s="8" t="s">
        <v>3322</v>
      </c>
      <c r="F849" s="8" t="s">
        <v>2373</v>
      </c>
      <c r="G849" s="8" t="s">
        <v>682</v>
      </c>
      <c r="H849" s="8" t="s">
        <v>22</v>
      </c>
      <c r="I849" s="8" t="s">
        <v>128</v>
      </c>
      <c r="J849" s="8" t="s">
        <v>1262</v>
      </c>
      <c r="K849" s="6" t="s">
        <v>22</v>
      </c>
      <c r="L849" s="7">
        <v>45663</v>
      </c>
      <c r="M849" s="6" t="s">
        <v>32</v>
      </c>
      <c r="N849" s="8" t="s">
        <v>3323</v>
      </c>
      <c r="O849" s="6">
        <f>HYPERLINK("https://docs.wto.org/imrd/directdoc.asp?DDFDocuments/t/G/SPS/NCHL808.DOCX", "https://docs.wto.org/imrd/directdoc.asp?DDFDocuments/t/G/SPS/NCHL808.DOCX")</f>
      </c>
      <c r="P849" s="6">
        <f>HYPERLINK("https://docs.wto.org/imrd/directdoc.asp?DDFDocuments/u/G/SPS/NCHL808.DOCX", "https://docs.wto.org/imrd/directdoc.asp?DDFDocuments/u/G/SPS/NCHL808.DOCX")</f>
      </c>
      <c r="Q849" s="6">
        <f>HYPERLINK("https://docs.wto.org/imrd/directdoc.asp?DDFDocuments/v/G/SPS/NCHL808.DOCX", "https://docs.wto.org/imrd/directdoc.asp?DDFDocuments/v/G/SPS/NCHL808.DOCX")</f>
      </c>
    </row>
    <row r="850">
      <c r="A850" s="6" t="s">
        <v>170</v>
      </c>
      <c r="B850" s="7">
        <v>45603</v>
      </c>
      <c r="C850" s="9">
        <f>HYPERLINK("https://eping.wto.org/en/Search?viewData= G/SPS/N/SAU/541"," G/SPS/N/SAU/541")</f>
      </c>
      <c r="D850" s="8" t="s">
        <v>3324</v>
      </c>
      <c r="E850" s="8" t="s">
        <v>3325</v>
      </c>
      <c r="F850" s="8" t="s">
        <v>173</v>
      </c>
      <c r="G850" s="8" t="s">
        <v>328</v>
      </c>
      <c r="H850" s="8" t="s">
        <v>22</v>
      </c>
      <c r="I850" s="8" t="s">
        <v>175</v>
      </c>
      <c r="J850" s="8" t="s">
        <v>3326</v>
      </c>
      <c r="K850" s="6" t="s">
        <v>1130</v>
      </c>
      <c r="L850" s="7" t="s">
        <v>22</v>
      </c>
      <c r="M850" s="6" t="s">
        <v>331</v>
      </c>
      <c r="N850" s="8" t="s">
        <v>3327</v>
      </c>
      <c r="O850" s="6">
        <f>HYPERLINK("https://docs.wto.org/imrd/directdoc.asp?DDFDocuments/t/G/SPS/NSAU541.DOCX", "https://docs.wto.org/imrd/directdoc.asp?DDFDocuments/t/G/SPS/NSAU541.DOCX")</f>
      </c>
      <c r="P850" s="6">
        <f>HYPERLINK("https://docs.wto.org/imrd/directdoc.asp?DDFDocuments/u/G/SPS/NSAU541.DOCX", "https://docs.wto.org/imrd/directdoc.asp?DDFDocuments/u/G/SPS/NSAU541.DOCX")</f>
      </c>
      <c r="Q850" s="6">
        <f>HYPERLINK("https://docs.wto.org/imrd/directdoc.asp?DDFDocuments/v/G/SPS/NSAU541.DOCX", "https://docs.wto.org/imrd/directdoc.asp?DDFDocuments/v/G/SPS/NSAU541.DOCX")</f>
      </c>
    </row>
    <row r="851">
      <c r="A851" s="6" t="s">
        <v>646</v>
      </c>
      <c r="B851" s="7">
        <v>45603</v>
      </c>
      <c r="C851" s="9">
        <f>HYPERLINK("https://eping.wto.org/en/Search?viewData= G/TBT/N/COL/254/Add.2"," G/TBT/N/COL/254/Add.2")</f>
      </c>
      <c r="D851" s="8" t="s">
        <v>3328</v>
      </c>
      <c r="E851" s="8" t="s">
        <v>3329</v>
      </c>
      <c r="F851" s="8" t="s">
        <v>3330</v>
      </c>
      <c r="G851" s="8" t="s">
        <v>3318</v>
      </c>
      <c r="H851" s="8" t="s">
        <v>3331</v>
      </c>
      <c r="I851" s="8" t="s">
        <v>823</v>
      </c>
      <c r="J851" s="8" t="s">
        <v>22</v>
      </c>
      <c r="K851" s="6"/>
      <c r="L851" s="7" t="s">
        <v>22</v>
      </c>
      <c r="M851" s="6" t="s">
        <v>40</v>
      </c>
      <c r="N851" s="8" t="s">
        <v>3332</v>
      </c>
      <c r="O851" s="6">
        <f>HYPERLINK("https://docs.wto.org/imrd/directdoc.asp?DDFDocuments/t/G/TBTN22/COL254A2.DOCX", "https://docs.wto.org/imrd/directdoc.asp?DDFDocuments/t/G/TBTN22/COL254A2.DOCX")</f>
      </c>
      <c r="P851" s="6">
        <f>HYPERLINK("https://docs.wto.org/imrd/directdoc.asp?DDFDocuments/u/G/TBTN22/COL254A2.DOCX", "https://docs.wto.org/imrd/directdoc.asp?DDFDocuments/u/G/TBTN22/COL254A2.DOCX")</f>
      </c>
      <c r="Q851" s="6">
        <f>HYPERLINK("https://docs.wto.org/imrd/directdoc.asp?DDFDocuments/v/G/TBTN22/COL254A2.DOCX", "https://docs.wto.org/imrd/directdoc.asp?DDFDocuments/v/G/TBTN22/COL254A2.DOCX")</f>
      </c>
    </row>
    <row r="852">
      <c r="A852" s="6" t="s">
        <v>82</v>
      </c>
      <c r="B852" s="7">
        <v>45603</v>
      </c>
      <c r="C852" s="9">
        <f>HYPERLINK("https://eping.wto.org/en/Search?viewData= G/SPS/N/BRA/2322/Add.1"," G/SPS/N/BRA/2322/Add.1")</f>
      </c>
      <c r="D852" s="8" t="s">
        <v>3333</v>
      </c>
      <c r="E852" s="8" t="s">
        <v>3334</v>
      </c>
      <c r="F852" s="8" t="s">
        <v>3335</v>
      </c>
      <c r="G852" s="8" t="s">
        <v>22</v>
      </c>
      <c r="H852" s="8" t="s">
        <v>213</v>
      </c>
      <c r="I852" s="8" t="s">
        <v>120</v>
      </c>
      <c r="J852" s="8" t="s">
        <v>2841</v>
      </c>
      <c r="K852" s="6"/>
      <c r="L852" s="7">
        <v>45663</v>
      </c>
      <c r="M852" s="6" t="s">
        <v>40</v>
      </c>
      <c r="N852" s="8" t="s">
        <v>3336</v>
      </c>
      <c r="O852" s="6">
        <f>HYPERLINK("https://docs.wto.org/imrd/directdoc.asp?DDFDocuments/t/G/SPS/NBRA2322A1.DOCX", "https://docs.wto.org/imrd/directdoc.asp?DDFDocuments/t/G/SPS/NBRA2322A1.DOCX")</f>
      </c>
      <c r="P852" s="6">
        <f>HYPERLINK("https://docs.wto.org/imrd/directdoc.asp?DDFDocuments/u/G/SPS/NBRA2322A1.DOCX", "https://docs.wto.org/imrd/directdoc.asp?DDFDocuments/u/G/SPS/NBRA2322A1.DOCX")</f>
      </c>
      <c r="Q852" s="6">
        <f>HYPERLINK("https://docs.wto.org/imrd/directdoc.asp?DDFDocuments/v/G/SPS/NBRA2322A1.DOCX", "https://docs.wto.org/imrd/directdoc.asp?DDFDocuments/v/G/SPS/NBRA2322A1.DOCX")</f>
      </c>
    </row>
    <row r="853">
      <c r="A853" s="6" t="s">
        <v>68</v>
      </c>
      <c r="B853" s="7">
        <v>45603</v>
      </c>
      <c r="C853" s="9">
        <f>HYPERLINK("https://eping.wto.org/en/Search?viewData= G/TBT/N/UGA/2039"," G/TBT/N/UGA/2039")</f>
      </c>
      <c r="D853" s="8" t="s">
        <v>3337</v>
      </c>
      <c r="E853" s="8" t="s">
        <v>3338</v>
      </c>
      <c r="F853" s="8" t="s">
        <v>3312</v>
      </c>
      <c r="G853" s="8" t="s">
        <v>3313</v>
      </c>
      <c r="H853" s="8" t="s">
        <v>3314</v>
      </c>
      <c r="I853" s="8" t="s">
        <v>845</v>
      </c>
      <c r="J853" s="8" t="s">
        <v>22</v>
      </c>
      <c r="K853" s="6"/>
      <c r="L853" s="7">
        <v>45663</v>
      </c>
      <c r="M853" s="6" t="s">
        <v>32</v>
      </c>
      <c r="N853" s="6"/>
      <c r="O853" s="6">
        <f>HYPERLINK("https://docs.wto.org/imrd/directdoc.asp?DDFDocuments/t/G/TBTN24/UGA2039.DOCX", "https://docs.wto.org/imrd/directdoc.asp?DDFDocuments/t/G/TBTN24/UGA2039.DOCX")</f>
      </c>
      <c r="P853" s="6">
        <f>HYPERLINK("https://docs.wto.org/imrd/directdoc.asp?DDFDocuments/u/G/TBTN24/UGA2039.DOCX", "https://docs.wto.org/imrd/directdoc.asp?DDFDocuments/u/G/TBTN24/UGA2039.DOCX")</f>
      </c>
      <c r="Q853" s="6">
        <f>HYPERLINK("https://docs.wto.org/imrd/directdoc.asp?DDFDocuments/v/G/TBTN24/UGA2039.DOCX", "https://docs.wto.org/imrd/directdoc.asp?DDFDocuments/v/G/TBTN24/UGA2039.DOCX")</f>
      </c>
    </row>
    <row r="854">
      <c r="A854" s="6" t="s">
        <v>513</v>
      </c>
      <c r="B854" s="7">
        <v>45603</v>
      </c>
      <c r="C854" s="9">
        <f>HYPERLINK("https://eping.wto.org/en/Search?viewData= G/SPS/N/IND/318"," G/SPS/N/IND/318")</f>
      </c>
      <c r="D854" s="8" t="s">
        <v>3339</v>
      </c>
      <c r="E854" s="8" t="s">
        <v>3340</v>
      </c>
      <c r="F854" s="8" t="s">
        <v>149</v>
      </c>
      <c r="G854" s="8" t="s">
        <v>22</v>
      </c>
      <c r="H854" s="8" t="s">
        <v>22</v>
      </c>
      <c r="I854" s="8" t="s">
        <v>120</v>
      </c>
      <c r="J854" s="8" t="s">
        <v>416</v>
      </c>
      <c r="K854" s="6" t="s">
        <v>22</v>
      </c>
      <c r="L854" s="7">
        <v>45663</v>
      </c>
      <c r="M854" s="6" t="s">
        <v>32</v>
      </c>
      <c r="N854" s="6"/>
      <c r="O854" s="6">
        <f>HYPERLINK("https://docs.wto.org/imrd/directdoc.asp?DDFDocuments/t/G/SPS/NIND318.DOCX", "https://docs.wto.org/imrd/directdoc.asp?DDFDocuments/t/G/SPS/NIND318.DOCX")</f>
      </c>
      <c r="P854" s="6">
        <f>HYPERLINK("https://docs.wto.org/imrd/directdoc.asp?DDFDocuments/u/G/SPS/NIND318.DOCX", "https://docs.wto.org/imrd/directdoc.asp?DDFDocuments/u/G/SPS/NIND318.DOCX")</f>
      </c>
      <c r="Q854" s="6">
        <f>HYPERLINK("https://docs.wto.org/imrd/directdoc.asp?DDFDocuments/v/G/SPS/NIND318.DOCX", "https://docs.wto.org/imrd/directdoc.asp?DDFDocuments/v/G/SPS/NIND318.DOCX")</f>
      </c>
    </row>
    <row r="855">
      <c r="A855" s="6" t="s">
        <v>374</v>
      </c>
      <c r="B855" s="7">
        <v>45603</v>
      </c>
      <c r="C855" s="9">
        <f>HYPERLINK("https://eping.wto.org/en/Search?viewData= G/SPS/N/CRI/280/Add.1"," G/SPS/N/CRI/280/Add.1")</f>
      </c>
      <c r="D855" s="8" t="s">
        <v>3341</v>
      </c>
      <c r="E855" s="8" t="s">
        <v>3341</v>
      </c>
      <c r="F855" s="8" t="s">
        <v>3342</v>
      </c>
      <c r="G855" s="8" t="s">
        <v>3343</v>
      </c>
      <c r="H855" s="8" t="s">
        <v>22</v>
      </c>
      <c r="I855" s="8" t="s">
        <v>390</v>
      </c>
      <c r="J855" s="8" t="s">
        <v>690</v>
      </c>
      <c r="K855" s="6"/>
      <c r="L855" s="7" t="s">
        <v>22</v>
      </c>
      <c r="M855" s="6" t="s">
        <v>40</v>
      </c>
      <c r="N855" s="8" t="s">
        <v>3344</v>
      </c>
      <c r="O855" s="6">
        <f>HYPERLINK("https://docs.wto.org/imrd/directdoc.asp?DDFDocuments/t/G/SPS/NCRI280A1.DOCX", "https://docs.wto.org/imrd/directdoc.asp?DDFDocuments/t/G/SPS/NCRI280A1.DOCX")</f>
      </c>
      <c r="P855" s="6">
        <f>HYPERLINK("https://docs.wto.org/imrd/directdoc.asp?DDFDocuments/u/G/SPS/NCRI280A1.DOCX", "https://docs.wto.org/imrd/directdoc.asp?DDFDocuments/u/G/SPS/NCRI280A1.DOCX")</f>
      </c>
      <c r="Q855" s="6">
        <f>HYPERLINK("https://docs.wto.org/imrd/directdoc.asp?DDFDocuments/v/G/SPS/NCRI280A1.DOCX", "https://docs.wto.org/imrd/directdoc.asp?DDFDocuments/v/G/SPS/NCRI280A1.DOCX")</f>
      </c>
    </row>
    <row r="856">
      <c r="A856" s="6" t="s">
        <v>53</v>
      </c>
      <c r="B856" s="7">
        <v>45603</v>
      </c>
      <c r="C856" s="9">
        <f>HYPERLINK("https://eping.wto.org/en/Search?viewData= G/TBT/N/BDI/527, G/TBT/N/KEN/1700, G/TBT/N/RWA/1094, G/TBT/N/TZA/1210, G/TBT/N/UGA/2037"," G/TBT/N/BDI/527, G/TBT/N/KEN/1700, G/TBT/N/RWA/1094, G/TBT/N/TZA/1210, G/TBT/N/UGA/2037")</f>
      </c>
      <c r="D856" s="8" t="s">
        <v>3303</v>
      </c>
      <c r="E856" s="8" t="s">
        <v>3304</v>
      </c>
      <c r="F856" s="8" t="s">
        <v>3305</v>
      </c>
      <c r="G856" s="8" t="s">
        <v>3306</v>
      </c>
      <c r="H856" s="8" t="s">
        <v>3307</v>
      </c>
      <c r="I856" s="8" t="s">
        <v>3308</v>
      </c>
      <c r="J856" s="8" t="s">
        <v>139</v>
      </c>
      <c r="K856" s="6"/>
      <c r="L856" s="7">
        <v>45663</v>
      </c>
      <c r="M856" s="6" t="s">
        <v>32</v>
      </c>
      <c r="N856" s="8" t="s">
        <v>3309</v>
      </c>
      <c r="O856" s="6">
        <f>HYPERLINK("https://docs.wto.org/imrd/directdoc.asp?DDFDocuments/t/G/TBTN24/BDI527.DOCX", "https://docs.wto.org/imrd/directdoc.asp?DDFDocuments/t/G/TBTN24/BDI527.DOCX")</f>
      </c>
      <c r="P856" s="6">
        <f>HYPERLINK("https://docs.wto.org/imrd/directdoc.asp?DDFDocuments/u/G/TBTN24/BDI527.DOCX", "https://docs.wto.org/imrd/directdoc.asp?DDFDocuments/u/G/TBTN24/BDI527.DOCX")</f>
      </c>
      <c r="Q856" s="6">
        <f>HYPERLINK("https://docs.wto.org/imrd/directdoc.asp?DDFDocuments/v/G/TBTN24/BDI527.DOCX", "https://docs.wto.org/imrd/directdoc.asp?DDFDocuments/v/G/TBTN24/BDI527.DOCX")</f>
      </c>
    </row>
    <row r="857">
      <c r="A857" s="6" t="s">
        <v>82</v>
      </c>
      <c r="B857" s="7">
        <v>45603</v>
      </c>
      <c r="C857" s="9">
        <f>HYPERLINK("https://eping.wto.org/en/Search?viewData= G/SPS/N/BRA/2248/Add.1"," G/SPS/N/BRA/2248/Add.1")</f>
      </c>
      <c r="D857" s="8" t="s">
        <v>3345</v>
      </c>
      <c r="E857" s="8" t="s">
        <v>3346</v>
      </c>
      <c r="F857" s="8" t="s">
        <v>3347</v>
      </c>
      <c r="G857" s="8" t="s">
        <v>22</v>
      </c>
      <c r="H857" s="8" t="s">
        <v>22</v>
      </c>
      <c r="I857" s="8" t="s">
        <v>390</v>
      </c>
      <c r="J857" s="8" t="s">
        <v>3348</v>
      </c>
      <c r="K857" s="6"/>
      <c r="L857" s="7" t="s">
        <v>22</v>
      </c>
      <c r="M857" s="6" t="s">
        <v>40</v>
      </c>
      <c r="N857" s="8" t="s">
        <v>3349</v>
      </c>
      <c r="O857" s="6">
        <f>HYPERLINK("https://docs.wto.org/imrd/directdoc.asp?DDFDocuments/t/G/SPS/NBRA2248A1.DOCX", "https://docs.wto.org/imrd/directdoc.asp?DDFDocuments/t/G/SPS/NBRA2248A1.DOCX")</f>
      </c>
      <c r="P857" s="6">
        <f>HYPERLINK("https://docs.wto.org/imrd/directdoc.asp?DDFDocuments/u/G/SPS/NBRA2248A1.DOCX", "https://docs.wto.org/imrd/directdoc.asp?DDFDocuments/u/G/SPS/NBRA2248A1.DOCX")</f>
      </c>
      <c r="Q857" s="6">
        <f>HYPERLINK("https://docs.wto.org/imrd/directdoc.asp?DDFDocuments/v/G/SPS/NBRA2248A1.DOCX", "https://docs.wto.org/imrd/directdoc.asp?DDFDocuments/v/G/SPS/NBRA2248A1.DOCX")</f>
      </c>
    </row>
    <row r="858">
      <c r="A858" s="6" t="s">
        <v>646</v>
      </c>
      <c r="B858" s="7">
        <v>45603</v>
      </c>
      <c r="C858" s="9">
        <f>HYPERLINK("https://eping.wto.org/en/Search?viewData= G/TBT/N/COL/258/Rev.1/Add.4"," G/TBT/N/COL/258/Rev.1/Add.4")</f>
      </c>
      <c r="D858" s="8" t="s">
        <v>3328</v>
      </c>
      <c r="E858" s="8" t="s">
        <v>3350</v>
      </c>
      <c r="F858" s="8" t="s">
        <v>3351</v>
      </c>
      <c r="G858" s="8" t="s">
        <v>3352</v>
      </c>
      <c r="H858" s="8" t="s">
        <v>3319</v>
      </c>
      <c r="I858" s="8" t="s">
        <v>823</v>
      </c>
      <c r="J858" s="8" t="s">
        <v>22</v>
      </c>
      <c r="K858" s="6"/>
      <c r="L858" s="7" t="s">
        <v>22</v>
      </c>
      <c r="M858" s="6" t="s">
        <v>40</v>
      </c>
      <c r="N858" s="8" t="s">
        <v>3353</v>
      </c>
      <c r="O858" s="6">
        <f>HYPERLINK("https://docs.wto.org/imrd/directdoc.asp?DDFDocuments/t/G/TBTN22/COL258R1A4.DOCX", "https://docs.wto.org/imrd/directdoc.asp?DDFDocuments/t/G/TBTN22/COL258R1A4.DOCX")</f>
      </c>
      <c r="P858" s="6">
        <f>HYPERLINK("https://docs.wto.org/imrd/directdoc.asp?DDFDocuments/u/G/TBTN22/COL258R1A4.DOCX", "https://docs.wto.org/imrd/directdoc.asp?DDFDocuments/u/G/TBTN22/COL258R1A4.DOCX")</f>
      </c>
      <c r="Q858" s="6">
        <f>HYPERLINK("https://docs.wto.org/imrd/directdoc.asp?DDFDocuments/v/G/TBTN22/COL258R1A4.DOCX", "https://docs.wto.org/imrd/directdoc.asp?DDFDocuments/v/G/TBTN22/COL258R1A4.DOCX")</f>
      </c>
    </row>
    <row r="859">
      <c r="A859" s="6" t="s">
        <v>1890</v>
      </c>
      <c r="B859" s="7">
        <v>45603</v>
      </c>
      <c r="C859" s="9">
        <f>HYPERLINK("https://eping.wto.org/en/Search?viewData= G/SPS/N/RUS/225/Add.1"," G/SPS/N/RUS/225/Add.1")</f>
      </c>
      <c r="D859" s="8" t="s">
        <v>3354</v>
      </c>
      <c r="E859" s="8" t="s">
        <v>3355</v>
      </c>
      <c r="F859" s="8" t="s">
        <v>3356</v>
      </c>
      <c r="G859" s="8" t="s">
        <v>3357</v>
      </c>
      <c r="H859" s="8" t="s">
        <v>22</v>
      </c>
      <c r="I859" s="8" t="s">
        <v>348</v>
      </c>
      <c r="J859" s="8" t="s">
        <v>3358</v>
      </c>
      <c r="K859" s="6"/>
      <c r="L859" s="7" t="s">
        <v>22</v>
      </c>
      <c r="M859" s="6" t="s">
        <v>24</v>
      </c>
      <c r="N859" s="8" t="s">
        <v>3359</v>
      </c>
      <c r="O859" s="6">
        <f>HYPERLINK("https://docs.wto.org/imrd/directdoc.asp?DDFDocuments/t/G/SPS/NRUS225A1.DOCX", "https://docs.wto.org/imrd/directdoc.asp?DDFDocuments/t/G/SPS/NRUS225A1.DOCX")</f>
      </c>
      <c r="P859" s="6">
        <f>HYPERLINK("https://docs.wto.org/imrd/directdoc.asp?DDFDocuments/u/G/SPS/NRUS225A1.DOCX", "https://docs.wto.org/imrd/directdoc.asp?DDFDocuments/u/G/SPS/NRUS225A1.DOCX")</f>
      </c>
      <c r="Q859" s="6">
        <f>HYPERLINK("https://docs.wto.org/imrd/directdoc.asp?DDFDocuments/v/G/SPS/NRUS225A1.DOCX", "https://docs.wto.org/imrd/directdoc.asp?DDFDocuments/v/G/SPS/NRUS225A1.DOCX")</f>
      </c>
    </row>
    <row r="860">
      <c r="A860" s="6" t="s">
        <v>68</v>
      </c>
      <c r="B860" s="7">
        <v>45603</v>
      </c>
      <c r="C860" s="9">
        <f>HYPERLINK("https://eping.wto.org/en/Search?viewData= G/TBT/N/BDI/527, G/TBT/N/KEN/1700, G/TBT/N/RWA/1094, G/TBT/N/TZA/1210, G/TBT/N/UGA/2037"," G/TBT/N/BDI/527, G/TBT/N/KEN/1700, G/TBT/N/RWA/1094, G/TBT/N/TZA/1210, G/TBT/N/UGA/2037")</f>
      </c>
      <c r="D860" s="8" t="s">
        <v>3303</v>
      </c>
      <c r="E860" s="8" t="s">
        <v>3304</v>
      </c>
      <c r="F860" s="8" t="s">
        <v>3305</v>
      </c>
      <c r="G860" s="8" t="s">
        <v>3306</v>
      </c>
      <c r="H860" s="8" t="s">
        <v>3307</v>
      </c>
      <c r="I860" s="8" t="s">
        <v>3308</v>
      </c>
      <c r="J860" s="8" t="s">
        <v>139</v>
      </c>
      <c r="K860" s="6"/>
      <c r="L860" s="7">
        <v>45663</v>
      </c>
      <c r="M860" s="6" t="s">
        <v>32</v>
      </c>
      <c r="N860" s="8" t="s">
        <v>3309</v>
      </c>
      <c r="O860" s="6">
        <f>HYPERLINK("https://docs.wto.org/imrd/directdoc.asp?DDFDocuments/t/G/TBTN24/BDI527.DOCX", "https://docs.wto.org/imrd/directdoc.asp?DDFDocuments/t/G/TBTN24/BDI527.DOCX")</f>
      </c>
      <c r="P860" s="6">
        <f>HYPERLINK("https://docs.wto.org/imrd/directdoc.asp?DDFDocuments/u/G/TBTN24/BDI527.DOCX", "https://docs.wto.org/imrd/directdoc.asp?DDFDocuments/u/G/TBTN24/BDI527.DOCX")</f>
      </c>
      <c r="Q860" s="6">
        <f>HYPERLINK("https://docs.wto.org/imrd/directdoc.asp?DDFDocuments/v/G/TBTN24/BDI527.DOCX", "https://docs.wto.org/imrd/directdoc.asp?DDFDocuments/v/G/TBTN24/BDI527.DOCX")</f>
      </c>
    </row>
    <row r="861">
      <c r="A861" s="6" t="s">
        <v>49</v>
      </c>
      <c r="B861" s="7">
        <v>45603</v>
      </c>
      <c r="C861" s="9">
        <f>HYPERLINK("https://eping.wto.org/en/Search?viewData= G/TBT/N/BDI/527, G/TBT/N/KEN/1700, G/TBT/N/RWA/1094, G/TBT/N/TZA/1210, G/TBT/N/UGA/2037"," G/TBT/N/BDI/527, G/TBT/N/KEN/1700, G/TBT/N/RWA/1094, G/TBT/N/TZA/1210, G/TBT/N/UGA/2037")</f>
      </c>
      <c r="D861" s="8" t="s">
        <v>3303</v>
      </c>
      <c r="E861" s="8" t="s">
        <v>3304</v>
      </c>
      <c r="F861" s="8" t="s">
        <v>3305</v>
      </c>
      <c r="G861" s="8" t="s">
        <v>3306</v>
      </c>
      <c r="H861" s="8" t="s">
        <v>3307</v>
      </c>
      <c r="I861" s="8" t="s">
        <v>3308</v>
      </c>
      <c r="J861" s="8" t="s">
        <v>139</v>
      </c>
      <c r="K861" s="6"/>
      <c r="L861" s="7">
        <v>45663</v>
      </c>
      <c r="M861" s="6" t="s">
        <v>32</v>
      </c>
      <c r="N861" s="8" t="s">
        <v>3309</v>
      </c>
      <c r="O861" s="6">
        <f>HYPERLINK("https://docs.wto.org/imrd/directdoc.asp?DDFDocuments/t/G/TBTN24/BDI527.DOCX", "https://docs.wto.org/imrd/directdoc.asp?DDFDocuments/t/G/TBTN24/BDI527.DOCX")</f>
      </c>
      <c r="P861" s="6">
        <f>HYPERLINK("https://docs.wto.org/imrd/directdoc.asp?DDFDocuments/u/G/TBTN24/BDI527.DOCX", "https://docs.wto.org/imrd/directdoc.asp?DDFDocuments/u/G/TBTN24/BDI527.DOCX")</f>
      </c>
      <c r="Q861" s="6">
        <f>HYPERLINK("https://docs.wto.org/imrd/directdoc.asp?DDFDocuments/v/G/TBTN24/BDI527.DOCX", "https://docs.wto.org/imrd/directdoc.asp?DDFDocuments/v/G/TBTN24/BDI527.DOCX")</f>
      </c>
    </row>
    <row r="862">
      <c r="A862" s="6" t="s">
        <v>513</v>
      </c>
      <c r="B862" s="7">
        <v>45603</v>
      </c>
      <c r="C862" s="9">
        <f>HYPERLINK("https://eping.wto.org/en/Search?viewData= G/SPS/N/IND/316"," G/SPS/N/IND/316")</f>
      </c>
      <c r="D862" s="8" t="s">
        <v>3360</v>
      </c>
      <c r="E862" s="8" t="s">
        <v>3361</v>
      </c>
      <c r="F862" s="8" t="s">
        <v>149</v>
      </c>
      <c r="G862" s="8" t="s">
        <v>22</v>
      </c>
      <c r="H862" s="8" t="s">
        <v>22</v>
      </c>
      <c r="I862" s="8" t="s">
        <v>120</v>
      </c>
      <c r="J862" s="8" t="s">
        <v>416</v>
      </c>
      <c r="K862" s="6" t="s">
        <v>22</v>
      </c>
      <c r="L862" s="7">
        <v>45663</v>
      </c>
      <c r="M862" s="6" t="s">
        <v>32</v>
      </c>
      <c r="N862" s="8" t="s">
        <v>3362</v>
      </c>
      <c r="O862" s="6">
        <f>HYPERLINK("https://docs.wto.org/imrd/directdoc.asp?DDFDocuments/t/G/SPS/NIND316.DOCX", "https://docs.wto.org/imrd/directdoc.asp?DDFDocuments/t/G/SPS/NIND316.DOCX")</f>
      </c>
      <c r="P862" s="6">
        <f>HYPERLINK("https://docs.wto.org/imrd/directdoc.asp?DDFDocuments/u/G/SPS/NIND316.DOCX", "https://docs.wto.org/imrd/directdoc.asp?DDFDocuments/u/G/SPS/NIND316.DOCX")</f>
      </c>
      <c r="Q862" s="6">
        <f>HYPERLINK("https://docs.wto.org/imrd/directdoc.asp?DDFDocuments/v/G/SPS/NIND316.DOCX", "https://docs.wto.org/imrd/directdoc.asp?DDFDocuments/v/G/SPS/NIND316.DOCX")</f>
      </c>
    </row>
    <row r="863">
      <c r="A863" s="6" t="s">
        <v>152</v>
      </c>
      <c r="B863" s="7">
        <v>45603</v>
      </c>
      <c r="C863" s="9">
        <f>HYPERLINK("https://eping.wto.org/en/Search?viewData= G/TBT/N/PER/166"," G/TBT/N/PER/166")</f>
      </c>
      <c r="D863" s="8" t="s">
        <v>3363</v>
      </c>
      <c r="E863" s="8" t="s">
        <v>3364</v>
      </c>
      <c r="F863" s="8" t="s">
        <v>3365</v>
      </c>
      <c r="G863" s="8" t="s">
        <v>3366</v>
      </c>
      <c r="H863" s="8" t="s">
        <v>3367</v>
      </c>
      <c r="I863" s="8" t="s">
        <v>511</v>
      </c>
      <c r="J863" s="8" t="s">
        <v>22</v>
      </c>
      <c r="K863" s="6"/>
      <c r="L863" s="7">
        <v>45663</v>
      </c>
      <c r="M863" s="6" t="s">
        <v>32</v>
      </c>
      <c r="N863" s="8" t="s">
        <v>3368</v>
      </c>
      <c r="O863" s="6">
        <f>HYPERLINK("https://docs.wto.org/imrd/directdoc.asp?DDFDocuments/t/G/TBTN24/PER166.DOCX", "https://docs.wto.org/imrd/directdoc.asp?DDFDocuments/t/G/TBTN24/PER166.DOCX")</f>
      </c>
      <c r="P863" s="6">
        <f>HYPERLINK("https://docs.wto.org/imrd/directdoc.asp?DDFDocuments/u/G/TBTN24/PER166.DOCX", "https://docs.wto.org/imrd/directdoc.asp?DDFDocuments/u/G/TBTN24/PER166.DOCX")</f>
      </c>
      <c r="Q863" s="6">
        <f>HYPERLINK("https://docs.wto.org/imrd/directdoc.asp?DDFDocuments/v/G/TBTN24/PER166.DOCX", "https://docs.wto.org/imrd/directdoc.asp?DDFDocuments/v/G/TBTN24/PER166.DOCX")</f>
      </c>
    </row>
    <row r="864">
      <c r="A864" s="6" t="s">
        <v>170</v>
      </c>
      <c r="B864" s="7">
        <v>45602</v>
      </c>
      <c r="C864" s="9">
        <f>HYPERLINK("https://eping.wto.org/en/Search?viewData= G/TBT/N/ARE/640, G/TBT/N/BHR/725, G/TBT/N/KWT/705, G/TBT/N/OMN/548, G/TBT/N/QAT/699, G/TBT/N/SAU/1369, G/TBT/N/YEM/305"," G/TBT/N/ARE/640, G/TBT/N/BHR/725, G/TBT/N/KWT/705, G/TBT/N/OMN/548, G/TBT/N/QAT/699, G/TBT/N/SAU/1369, G/TBT/N/YEM/305")</f>
      </c>
      <c r="D864" s="8" t="s">
        <v>3369</v>
      </c>
      <c r="E864" s="8" t="s">
        <v>3370</v>
      </c>
      <c r="F864" s="8" t="s">
        <v>3371</v>
      </c>
      <c r="G864" s="8" t="s">
        <v>22</v>
      </c>
      <c r="H864" s="8" t="s">
        <v>3372</v>
      </c>
      <c r="I864" s="8" t="s">
        <v>3373</v>
      </c>
      <c r="J864" s="8" t="s">
        <v>22</v>
      </c>
      <c r="K864" s="6"/>
      <c r="L864" s="7">
        <v>45662</v>
      </c>
      <c r="M864" s="6" t="s">
        <v>32</v>
      </c>
      <c r="N864" s="8" t="s">
        <v>3374</v>
      </c>
      <c r="O864" s="6">
        <f>HYPERLINK("https://docs.wto.org/imrd/directdoc.asp?DDFDocuments/t/G/TBTN24/ARE640.DOCX", "https://docs.wto.org/imrd/directdoc.asp?DDFDocuments/t/G/TBTN24/ARE640.DOCX")</f>
      </c>
      <c r="P864" s="6">
        <f>HYPERLINK("https://docs.wto.org/imrd/directdoc.asp?DDFDocuments/u/G/TBTN24/ARE640.DOCX", "https://docs.wto.org/imrd/directdoc.asp?DDFDocuments/u/G/TBTN24/ARE640.DOCX")</f>
      </c>
      <c r="Q864" s="6">
        <f>HYPERLINK("https://docs.wto.org/imrd/directdoc.asp?DDFDocuments/v/G/TBTN24/ARE640.DOCX", "https://docs.wto.org/imrd/directdoc.asp?DDFDocuments/v/G/TBTN24/ARE640.DOCX")</f>
      </c>
    </row>
    <row r="865">
      <c r="A865" s="6" t="s">
        <v>49</v>
      </c>
      <c r="B865" s="7">
        <v>45602</v>
      </c>
      <c r="C865" s="9">
        <f>HYPERLINK("https://eping.wto.org/en/Search?viewData= G/TBT/N/TZA/1203"," G/TBT/N/TZA/1203")</f>
      </c>
      <c r="D865" s="8" t="s">
        <v>3375</v>
      </c>
      <c r="E865" s="8" t="s">
        <v>3376</v>
      </c>
      <c r="F865" s="8" t="s">
        <v>3377</v>
      </c>
      <c r="G865" s="8" t="s">
        <v>3378</v>
      </c>
      <c r="H865" s="8" t="s">
        <v>2363</v>
      </c>
      <c r="I865" s="8" t="s">
        <v>3379</v>
      </c>
      <c r="J865" s="8" t="s">
        <v>58</v>
      </c>
      <c r="K865" s="6"/>
      <c r="L865" s="7">
        <v>45662</v>
      </c>
      <c r="M865" s="6" t="s">
        <v>32</v>
      </c>
      <c r="N865" s="8" t="s">
        <v>3380</v>
      </c>
      <c r="O865" s="6">
        <f>HYPERLINK("https://docs.wto.org/imrd/directdoc.asp?DDFDocuments/t/G/TBTN24/TZA1203.DOCX", "https://docs.wto.org/imrd/directdoc.asp?DDFDocuments/t/G/TBTN24/TZA1203.DOCX")</f>
      </c>
      <c r="P865" s="6">
        <f>HYPERLINK("https://docs.wto.org/imrd/directdoc.asp?DDFDocuments/u/G/TBTN24/TZA1203.DOCX", "https://docs.wto.org/imrd/directdoc.asp?DDFDocuments/u/G/TBTN24/TZA1203.DOCX")</f>
      </c>
      <c r="Q865" s="6">
        <f>HYPERLINK("https://docs.wto.org/imrd/directdoc.asp?DDFDocuments/v/G/TBTN24/TZA1203.DOCX", "https://docs.wto.org/imrd/directdoc.asp?DDFDocuments/v/G/TBTN24/TZA1203.DOCX")</f>
      </c>
    </row>
    <row r="866">
      <c r="A866" s="6" t="s">
        <v>360</v>
      </c>
      <c r="B866" s="7">
        <v>45602</v>
      </c>
      <c r="C866" s="9">
        <f>HYPERLINK("https://eping.wto.org/en/Search?viewData= G/SPS/N/CHL/806"," G/SPS/N/CHL/806")</f>
      </c>
      <c r="D866" s="8" t="s">
        <v>3381</v>
      </c>
      <c r="E866" s="8" t="s">
        <v>3382</v>
      </c>
      <c r="F866" s="8" t="s">
        <v>362</v>
      </c>
      <c r="G866" s="8" t="s">
        <v>389</v>
      </c>
      <c r="H866" s="8" t="s">
        <v>22</v>
      </c>
      <c r="I866" s="8" t="s">
        <v>128</v>
      </c>
      <c r="J866" s="8" t="s">
        <v>3383</v>
      </c>
      <c r="K866" s="6" t="s">
        <v>400</v>
      </c>
      <c r="L866" s="7" t="s">
        <v>22</v>
      </c>
      <c r="M866" s="6" t="s">
        <v>32</v>
      </c>
      <c r="N866" s="8" t="s">
        <v>3384</v>
      </c>
      <c r="O866" s="6">
        <f>HYPERLINK("https://docs.wto.org/imrd/directdoc.asp?DDFDocuments/t/G/SPS/NCHL806.DOCX", "https://docs.wto.org/imrd/directdoc.asp?DDFDocuments/t/G/SPS/NCHL806.DOCX")</f>
      </c>
      <c r="P866" s="6">
        <f>HYPERLINK("https://docs.wto.org/imrd/directdoc.asp?DDFDocuments/u/G/SPS/NCHL806.DOCX", "https://docs.wto.org/imrd/directdoc.asp?DDFDocuments/u/G/SPS/NCHL806.DOCX")</f>
      </c>
      <c r="Q866" s="6">
        <f>HYPERLINK("https://docs.wto.org/imrd/directdoc.asp?DDFDocuments/v/G/SPS/NCHL806.DOCX", "https://docs.wto.org/imrd/directdoc.asp?DDFDocuments/v/G/SPS/NCHL806.DOCX")</f>
      </c>
    </row>
    <row r="867">
      <c r="A867" s="6" t="s">
        <v>49</v>
      </c>
      <c r="B867" s="7">
        <v>45602</v>
      </c>
      <c r="C867" s="9">
        <f>HYPERLINK("https://eping.wto.org/en/Search?viewData= G/TBT/N/TZA/1207"," G/TBT/N/TZA/1207")</f>
      </c>
      <c r="D867" s="8" t="s">
        <v>3385</v>
      </c>
      <c r="E867" s="8" t="s">
        <v>3386</v>
      </c>
      <c r="F867" s="8" t="s">
        <v>3387</v>
      </c>
      <c r="G867" s="8" t="s">
        <v>938</v>
      </c>
      <c r="H867" s="8" t="s">
        <v>866</v>
      </c>
      <c r="I867" s="8" t="s">
        <v>3379</v>
      </c>
      <c r="J867" s="8" t="s">
        <v>58</v>
      </c>
      <c r="K867" s="6"/>
      <c r="L867" s="7">
        <v>45662</v>
      </c>
      <c r="M867" s="6" t="s">
        <v>32</v>
      </c>
      <c r="N867" s="8" t="s">
        <v>3388</v>
      </c>
      <c r="O867" s="6">
        <f>HYPERLINK("https://docs.wto.org/imrd/directdoc.asp?DDFDocuments/t/G/TBTN24/TZA1207.DOCX", "https://docs.wto.org/imrd/directdoc.asp?DDFDocuments/t/G/TBTN24/TZA1207.DOCX")</f>
      </c>
      <c r="P867" s="6">
        <f>HYPERLINK("https://docs.wto.org/imrd/directdoc.asp?DDFDocuments/u/G/TBTN24/TZA1207.DOCX", "https://docs.wto.org/imrd/directdoc.asp?DDFDocuments/u/G/TBTN24/TZA1207.DOCX")</f>
      </c>
      <c r="Q867" s="6">
        <f>HYPERLINK("https://docs.wto.org/imrd/directdoc.asp?DDFDocuments/v/G/TBTN24/TZA1207.DOCX", "https://docs.wto.org/imrd/directdoc.asp?DDFDocuments/v/G/TBTN24/TZA1207.DOCX")</f>
      </c>
    </row>
    <row r="868">
      <c r="A868" s="6" t="s">
        <v>3271</v>
      </c>
      <c r="B868" s="7">
        <v>45602</v>
      </c>
      <c r="C868" s="9">
        <f>HYPERLINK("https://eping.wto.org/en/Search?viewData= G/TBT/N/ARE/640, G/TBT/N/BHR/725, G/TBT/N/KWT/705, G/TBT/N/OMN/548, G/TBT/N/QAT/699, G/TBT/N/SAU/1369, G/TBT/N/YEM/305"," G/TBT/N/ARE/640, G/TBT/N/BHR/725, G/TBT/N/KWT/705, G/TBT/N/OMN/548, G/TBT/N/QAT/699, G/TBT/N/SAU/1369, G/TBT/N/YEM/305")</f>
      </c>
      <c r="D868" s="8" t="s">
        <v>3369</v>
      </c>
      <c r="E868" s="8" t="s">
        <v>3370</v>
      </c>
      <c r="F868" s="8" t="s">
        <v>3371</v>
      </c>
      <c r="G868" s="8" t="s">
        <v>22</v>
      </c>
      <c r="H868" s="8" t="s">
        <v>3372</v>
      </c>
      <c r="I868" s="8" t="s">
        <v>3373</v>
      </c>
      <c r="J868" s="8" t="s">
        <v>22</v>
      </c>
      <c r="K868" s="6"/>
      <c r="L868" s="7">
        <v>45662</v>
      </c>
      <c r="M868" s="6" t="s">
        <v>32</v>
      </c>
      <c r="N868" s="8" t="s">
        <v>3374</v>
      </c>
      <c r="O868" s="6">
        <f>HYPERLINK("https://docs.wto.org/imrd/directdoc.asp?DDFDocuments/t/G/TBTN24/ARE640.DOCX", "https://docs.wto.org/imrd/directdoc.asp?DDFDocuments/t/G/TBTN24/ARE640.DOCX")</f>
      </c>
      <c r="P868" s="6">
        <f>HYPERLINK("https://docs.wto.org/imrd/directdoc.asp?DDFDocuments/u/G/TBTN24/ARE640.DOCX", "https://docs.wto.org/imrd/directdoc.asp?DDFDocuments/u/G/TBTN24/ARE640.DOCX")</f>
      </c>
      <c r="Q868" s="6">
        <f>HYPERLINK("https://docs.wto.org/imrd/directdoc.asp?DDFDocuments/v/G/TBTN24/ARE640.DOCX", "https://docs.wto.org/imrd/directdoc.asp?DDFDocuments/v/G/TBTN24/ARE640.DOCX")</f>
      </c>
    </row>
    <row r="869">
      <c r="A869" s="6" t="s">
        <v>26</v>
      </c>
      <c r="B869" s="7">
        <v>45602</v>
      </c>
      <c r="C869" s="9">
        <f>HYPERLINK("https://eping.wto.org/en/Search?viewData= G/TBT/N/BDI/526, G/TBT/N/KEN/1699, G/TBT/N/RWA/1093, G/TBT/N/TZA/1209, G/TBT/N/UGA/2036"," G/TBT/N/BDI/526, G/TBT/N/KEN/1699, G/TBT/N/RWA/1093, G/TBT/N/TZA/1209, G/TBT/N/UGA/2036")</f>
      </c>
      <c r="D869" s="8" t="s">
        <v>3389</v>
      </c>
      <c r="E869" s="8" t="s">
        <v>3390</v>
      </c>
      <c r="F869" s="8" t="s">
        <v>3305</v>
      </c>
      <c r="G869" s="8" t="s">
        <v>3306</v>
      </c>
      <c r="H869" s="8" t="s">
        <v>3307</v>
      </c>
      <c r="I869" s="8" t="s">
        <v>852</v>
      </c>
      <c r="J869" s="8" t="s">
        <v>22</v>
      </c>
      <c r="K869" s="6"/>
      <c r="L869" s="7">
        <v>45662</v>
      </c>
      <c r="M869" s="6" t="s">
        <v>32</v>
      </c>
      <c r="N869" s="8" t="s">
        <v>3391</v>
      </c>
      <c r="O869" s="6">
        <f>HYPERLINK("https://docs.wto.org/imrd/directdoc.asp?DDFDocuments/t/G/TBTN24/BDI526.DOCX", "https://docs.wto.org/imrd/directdoc.asp?DDFDocuments/t/G/TBTN24/BDI526.DOCX")</f>
      </c>
      <c r="P869" s="6">
        <f>HYPERLINK("https://docs.wto.org/imrd/directdoc.asp?DDFDocuments/u/G/TBTN24/BDI526.DOCX", "https://docs.wto.org/imrd/directdoc.asp?DDFDocuments/u/G/TBTN24/BDI526.DOCX")</f>
      </c>
      <c r="Q869" s="6">
        <f>HYPERLINK("https://docs.wto.org/imrd/directdoc.asp?DDFDocuments/v/G/TBTN24/BDI526.DOCX", "https://docs.wto.org/imrd/directdoc.asp?DDFDocuments/v/G/TBTN24/BDI526.DOCX")</f>
      </c>
    </row>
    <row r="870">
      <c r="A870" s="6" t="s">
        <v>226</v>
      </c>
      <c r="B870" s="7">
        <v>45602</v>
      </c>
      <c r="C870" s="9">
        <f>HYPERLINK("https://eping.wto.org/en/Search?viewData= G/TBT/N/ARE/640, G/TBT/N/BHR/725, G/TBT/N/KWT/705, G/TBT/N/OMN/548, G/TBT/N/QAT/699, G/TBT/N/SAU/1369, G/TBT/N/YEM/305"," G/TBT/N/ARE/640, G/TBT/N/BHR/725, G/TBT/N/KWT/705, G/TBT/N/OMN/548, G/TBT/N/QAT/699, G/TBT/N/SAU/1369, G/TBT/N/YEM/305")</f>
      </c>
      <c r="D870" s="8" t="s">
        <v>3369</v>
      </c>
      <c r="E870" s="8" t="s">
        <v>3370</v>
      </c>
      <c r="F870" s="8" t="s">
        <v>3371</v>
      </c>
      <c r="G870" s="8" t="s">
        <v>22</v>
      </c>
      <c r="H870" s="8" t="s">
        <v>3372</v>
      </c>
      <c r="I870" s="8" t="s">
        <v>3373</v>
      </c>
      <c r="J870" s="8" t="s">
        <v>22</v>
      </c>
      <c r="K870" s="6"/>
      <c r="L870" s="7">
        <v>45662</v>
      </c>
      <c r="M870" s="6" t="s">
        <v>32</v>
      </c>
      <c r="N870" s="8" t="s">
        <v>3374</v>
      </c>
      <c r="O870" s="6">
        <f>HYPERLINK("https://docs.wto.org/imrd/directdoc.asp?DDFDocuments/t/G/TBTN24/ARE640.DOCX", "https://docs.wto.org/imrd/directdoc.asp?DDFDocuments/t/G/TBTN24/ARE640.DOCX")</f>
      </c>
      <c r="P870" s="6">
        <f>HYPERLINK("https://docs.wto.org/imrd/directdoc.asp?DDFDocuments/u/G/TBTN24/ARE640.DOCX", "https://docs.wto.org/imrd/directdoc.asp?DDFDocuments/u/G/TBTN24/ARE640.DOCX")</f>
      </c>
      <c r="Q870" s="6">
        <f>HYPERLINK("https://docs.wto.org/imrd/directdoc.asp?DDFDocuments/v/G/TBTN24/ARE640.DOCX", "https://docs.wto.org/imrd/directdoc.asp?DDFDocuments/v/G/TBTN24/ARE640.DOCX")</f>
      </c>
    </row>
    <row r="871">
      <c r="A871" s="6" t="s">
        <v>3255</v>
      </c>
      <c r="B871" s="7">
        <v>45602</v>
      </c>
      <c r="C871" s="9">
        <f>HYPERLINK("https://eping.wto.org/en/Search?viewData= G/TBT/N/ARE/640, G/TBT/N/BHR/725, G/TBT/N/KWT/705, G/TBT/N/OMN/548, G/TBT/N/QAT/699, G/TBT/N/SAU/1369, G/TBT/N/YEM/305"," G/TBT/N/ARE/640, G/TBT/N/BHR/725, G/TBT/N/KWT/705, G/TBT/N/OMN/548, G/TBT/N/QAT/699, G/TBT/N/SAU/1369, G/TBT/N/YEM/305")</f>
      </c>
      <c r="D871" s="8" t="s">
        <v>3369</v>
      </c>
      <c r="E871" s="8" t="s">
        <v>3370</v>
      </c>
      <c r="F871" s="8" t="s">
        <v>3371</v>
      </c>
      <c r="G871" s="8" t="s">
        <v>22</v>
      </c>
      <c r="H871" s="8" t="s">
        <v>3372</v>
      </c>
      <c r="I871" s="8" t="s">
        <v>3373</v>
      </c>
      <c r="J871" s="8" t="s">
        <v>22</v>
      </c>
      <c r="K871" s="6"/>
      <c r="L871" s="7">
        <v>45662</v>
      </c>
      <c r="M871" s="6" t="s">
        <v>32</v>
      </c>
      <c r="N871" s="8" t="s">
        <v>3374</v>
      </c>
      <c r="O871" s="6">
        <f>HYPERLINK("https://docs.wto.org/imrd/directdoc.asp?DDFDocuments/t/G/TBTN24/ARE640.DOCX", "https://docs.wto.org/imrd/directdoc.asp?DDFDocuments/t/G/TBTN24/ARE640.DOCX")</f>
      </c>
      <c r="P871" s="6">
        <f>HYPERLINK("https://docs.wto.org/imrd/directdoc.asp?DDFDocuments/u/G/TBTN24/ARE640.DOCX", "https://docs.wto.org/imrd/directdoc.asp?DDFDocuments/u/G/TBTN24/ARE640.DOCX")</f>
      </c>
      <c r="Q871" s="6">
        <f>HYPERLINK("https://docs.wto.org/imrd/directdoc.asp?DDFDocuments/v/G/TBTN24/ARE640.DOCX", "https://docs.wto.org/imrd/directdoc.asp?DDFDocuments/v/G/TBTN24/ARE640.DOCX")</f>
      </c>
    </row>
    <row r="872">
      <c r="A872" s="6" t="s">
        <v>1982</v>
      </c>
      <c r="B872" s="7">
        <v>45602</v>
      </c>
      <c r="C872" s="9">
        <f>HYPERLINK("https://eping.wto.org/en/Search?viewData= G/TBT/N/ARE/640, G/TBT/N/BHR/725, G/TBT/N/KWT/705, G/TBT/N/OMN/548, G/TBT/N/QAT/699, G/TBT/N/SAU/1369, G/TBT/N/YEM/305"," G/TBT/N/ARE/640, G/TBT/N/BHR/725, G/TBT/N/KWT/705, G/TBT/N/OMN/548, G/TBT/N/QAT/699, G/TBT/N/SAU/1369, G/TBT/N/YEM/305")</f>
      </c>
      <c r="D872" s="8" t="s">
        <v>3369</v>
      </c>
      <c r="E872" s="8" t="s">
        <v>3370</v>
      </c>
      <c r="F872" s="8" t="s">
        <v>3371</v>
      </c>
      <c r="G872" s="8" t="s">
        <v>22</v>
      </c>
      <c r="H872" s="8" t="s">
        <v>3372</v>
      </c>
      <c r="I872" s="8" t="s">
        <v>3373</v>
      </c>
      <c r="J872" s="8" t="s">
        <v>22</v>
      </c>
      <c r="K872" s="6"/>
      <c r="L872" s="7">
        <v>45662</v>
      </c>
      <c r="M872" s="6" t="s">
        <v>32</v>
      </c>
      <c r="N872" s="8" t="s">
        <v>3374</v>
      </c>
      <c r="O872" s="6">
        <f>HYPERLINK("https://docs.wto.org/imrd/directdoc.asp?DDFDocuments/t/G/TBTN24/ARE640.DOCX", "https://docs.wto.org/imrd/directdoc.asp?DDFDocuments/t/G/TBTN24/ARE640.DOCX")</f>
      </c>
      <c r="P872" s="6">
        <f>HYPERLINK("https://docs.wto.org/imrd/directdoc.asp?DDFDocuments/u/G/TBTN24/ARE640.DOCX", "https://docs.wto.org/imrd/directdoc.asp?DDFDocuments/u/G/TBTN24/ARE640.DOCX")</f>
      </c>
      <c r="Q872" s="6">
        <f>HYPERLINK("https://docs.wto.org/imrd/directdoc.asp?DDFDocuments/v/G/TBTN24/ARE640.DOCX", "https://docs.wto.org/imrd/directdoc.asp?DDFDocuments/v/G/TBTN24/ARE640.DOCX")</f>
      </c>
    </row>
    <row r="873">
      <c r="A873" s="6" t="s">
        <v>49</v>
      </c>
      <c r="B873" s="7">
        <v>45602</v>
      </c>
      <c r="C873" s="9">
        <f>HYPERLINK("https://eping.wto.org/en/Search?viewData= G/SPS/N/TZA/393"," G/SPS/N/TZA/393")</f>
      </c>
      <c r="D873" s="8" t="s">
        <v>3392</v>
      </c>
      <c r="E873" s="8" t="s">
        <v>3393</v>
      </c>
      <c r="F873" s="8" t="s">
        <v>3394</v>
      </c>
      <c r="G873" s="8" t="s">
        <v>3395</v>
      </c>
      <c r="H873" s="8" t="s">
        <v>872</v>
      </c>
      <c r="I873" s="8" t="s">
        <v>120</v>
      </c>
      <c r="J873" s="8" t="s">
        <v>416</v>
      </c>
      <c r="K873" s="6" t="s">
        <v>22</v>
      </c>
      <c r="L873" s="7">
        <v>45662</v>
      </c>
      <c r="M873" s="6" t="s">
        <v>32</v>
      </c>
      <c r="N873" s="8" t="s">
        <v>3396</v>
      </c>
      <c r="O873" s="6">
        <f>HYPERLINK("https://docs.wto.org/imrd/directdoc.asp?DDFDocuments/t/G/SPS/NTZA393.DOCX", "https://docs.wto.org/imrd/directdoc.asp?DDFDocuments/t/G/SPS/NTZA393.DOCX")</f>
      </c>
      <c r="P873" s="6">
        <f>HYPERLINK("https://docs.wto.org/imrd/directdoc.asp?DDFDocuments/u/G/SPS/NTZA393.DOCX", "https://docs.wto.org/imrd/directdoc.asp?DDFDocuments/u/G/SPS/NTZA393.DOCX")</f>
      </c>
      <c r="Q873" s="6">
        <f>HYPERLINK("https://docs.wto.org/imrd/directdoc.asp?DDFDocuments/v/G/SPS/NTZA393.DOCX", "https://docs.wto.org/imrd/directdoc.asp?DDFDocuments/v/G/SPS/NTZA393.DOCX")</f>
      </c>
    </row>
    <row r="874">
      <c r="A874" s="6" t="s">
        <v>49</v>
      </c>
      <c r="B874" s="7">
        <v>45602</v>
      </c>
      <c r="C874" s="9">
        <f>HYPERLINK("https://eping.wto.org/en/Search?viewData= G/TBT/N/TZA/1208"," G/TBT/N/TZA/1208")</f>
      </c>
      <c r="D874" s="8" t="s">
        <v>3397</v>
      </c>
      <c r="E874" s="8" t="s">
        <v>3398</v>
      </c>
      <c r="F874" s="8" t="s">
        <v>3399</v>
      </c>
      <c r="G874" s="8" t="s">
        <v>1393</v>
      </c>
      <c r="H874" s="8" t="s">
        <v>872</v>
      </c>
      <c r="I874" s="8" t="s">
        <v>1058</v>
      </c>
      <c r="J874" s="8" t="s">
        <v>58</v>
      </c>
      <c r="K874" s="6"/>
      <c r="L874" s="7">
        <v>45662</v>
      </c>
      <c r="M874" s="6" t="s">
        <v>32</v>
      </c>
      <c r="N874" s="8" t="s">
        <v>3400</v>
      </c>
      <c r="O874" s="6">
        <f>HYPERLINK("https://docs.wto.org/imrd/directdoc.asp?DDFDocuments/t/G/TBTN24/TZA1208.DOCX", "https://docs.wto.org/imrd/directdoc.asp?DDFDocuments/t/G/TBTN24/TZA1208.DOCX")</f>
      </c>
      <c r="P874" s="6">
        <f>HYPERLINK("https://docs.wto.org/imrd/directdoc.asp?DDFDocuments/u/G/TBTN24/TZA1208.DOCX", "https://docs.wto.org/imrd/directdoc.asp?DDFDocuments/u/G/TBTN24/TZA1208.DOCX")</f>
      </c>
      <c r="Q874" s="6">
        <f>HYPERLINK("https://docs.wto.org/imrd/directdoc.asp?DDFDocuments/v/G/TBTN24/TZA1208.DOCX", "https://docs.wto.org/imrd/directdoc.asp?DDFDocuments/v/G/TBTN24/TZA1208.DOCX")</f>
      </c>
    </row>
    <row r="875">
      <c r="A875" s="6" t="s">
        <v>49</v>
      </c>
      <c r="B875" s="7">
        <v>45602</v>
      </c>
      <c r="C875" s="9">
        <f>HYPERLINK("https://eping.wto.org/en/Search?viewData= G/TBT/N/BDI/526, G/TBT/N/KEN/1699, G/TBT/N/RWA/1093, G/TBT/N/TZA/1209, G/TBT/N/UGA/2036"," G/TBT/N/BDI/526, G/TBT/N/KEN/1699, G/TBT/N/RWA/1093, G/TBT/N/TZA/1209, G/TBT/N/UGA/2036")</f>
      </c>
      <c r="D875" s="8" t="s">
        <v>3389</v>
      </c>
      <c r="E875" s="8" t="s">
        <v>3390</v>
      </c>
      <c r="F875" s="8" t="s">
        <v>3305</v>
      </c>
      <c r="G875" s="8" t="s">
        <v>3306</v>
      </c>
      <c r="H875" s="8" t="s">
        <v>3307</v>
      </c>
      <c r="I875" s="8" t="s">
        <v>852</v>
      </c>
      <c r="J875" s="8" t="s">
        <v>22</v>
      </c>
      <c r="K875" s="6"/>
      <c r="L875" s="7">
        <v>45662</v>
      </c>
      <c r="M875" s="6" t="s">
        <v>32</v>
      </c>
      <c r="N875" s="8" t="s">
        <v>3391</v>
      </c>
      <c r="O875" s="6">
        <f>HYPERLINK("https://docs.wto.org/imrd/directdoc.asp?DDFDocuments/t/G/TBTN24/BDI526.DOCX", "https://docs.wto.org/imrd/directdoc.asp?DDFDocuments/t/G/TBTN24/BDI526.DOCX")</f>
      </c>
      <c r="P875" s="6">
        <f>HYPERLINK("https://docs.wto.org/imrd/directdoc.asp?DDFDocuments/u/G/TBTN24/BDI526.DOCX", "https://docs.wto.org/imrd/directdoc.asp?DDFDocuments/u/G/TBTN24/BDI526.DOCX")</f>
      </c>
      <c r="Q875" s="6">
        <f>HYPERLINK("https://docs.wto.org/imrd/directdoc.asp?DDFDocuments/v/G/TBTN24/BDI526.DOCX", "https://docs.wto.org/imrd/directdoc.asp?DDFDocuments/v/G/TBTN24/BDI526.DOCX")</f>
      </c>
    </row>
    <row r="876">
      <c r="A876" s="6" t="s">
        <v>49</v>
      </c>
      <c r="B876" s="7">
        <v>45602</v>
      </c>
      <c r="C876" s="9">
        <f>HYPERLINK("https://eping.wto.org/en/Search?viewData= G/TBT/N/TZA/1200"," G/TBT/N/TZA/1200")</f>
      </c>
      <c r="D876" s="8" t="s">
        <v>3401</v>
      </c>
      <c r="E876" s="8" t="s">
        <v>3402</v>
      </c>
      <c r="F876" s="8" t="s">
        <v>2077</v>
      </c>
      <c r="G876" s="8" t="s">
        <v>253</v>
      </c>
      <c r="H876" s="8" t="s">
        <v>2363</v>
      </c>
      <c r="I876" s="8" t="s">
        <v>3379</v>
      </c>
      <c r="J876" s="8" t="s">
        <v>58</v>
      </c>
      <c r="K876" s="6"/>
      <c r="L876" s="7">
        <v>45662</v>
      </c>
      <c r="M876" s="6" t="s">
        <v>32</v>
      </c>
      <c r="N876" s="8" t="s">
        <v>3403</v>
      </c>
      <c r="O876" s="6">
        <f>HYPERLINK("https://docs.wto.org/imrd/directdoc.asp?DDFDocuments/t/G/TBTN24/TZA1200.DOCX", "https://docs.wto.org/imrd/directdoc.asp?DDFDocuments/t/G/TBTN24/TZA1200.DOCX")</f>
      </c>
      <c r="P876" s="6">
        <f>HYPERLINK("https://docs.wto.org/imrd/directdoc.asp?DDFDocuments/u/G/TBTN24/TZA1200.DOCX", "https://docs.wto.org/imrd/directdoc.asp?DDFDocuments/u/G/TBTN24/TZA1200.DOCX")</f>
      </c>
      <c r="Q876" s="6">
        <f>HYPERLINK("https://docs.wto.org/imrd/directdoc.asp?DDFDocuments/v/G/TBTN24/TZA1200.DOCX", "https://docs.wto.org/imrd/directdoc.asp?DDFDocuments/v/G/TBTN24/TZA1200.DOCX")</f>
      </c>
    </row>
    <row r="877">
      <c r="A877" s="6" t="s">
        <v>976</v>
      </c>
      <c r="B877" s="7">
        <v>45602</v>
      </c>
      <c r="C877" s="9">
        <f>HYPERLINK("https://eping.wto.org/en/Search?viewData= G/TBT/N/ARE/640, G/TBT/N/BHR/725, G/TBT/N/KWT/705, G/TBT/N/OMN/548, G/TBT/N/QAT/699, G/TBT/N/SAU/1369, G/TBT/N/YEM/305"," G/TBT/N/ARE/640, G/TBT/N/BHR/725, G/TBT/N/KWT/705, G/TBT/N/OMN/548, G/TBT/N/QAT/699, G/TBT/N/SAU/1369, G/TBT/N/YEM/305")</f>
      </c>
      <c r="D877" s="8" t="s">
        <v>3369</v>
      </c>
      <c r="E877" s="8" t="s">
        <v>3370</v>
      </c>
      <c r="F877" s="8" t="s">
        <v>3371</v>
      </c>
      <c r="G877" s="8" t="s">
        <v>22</v>
      </c>
      <c r="H877" s="8" t="s">
        <v>3372</v>
      </c>
      <c r="I877" s="8" t="s">
        <v>3373</v>
      </c>
      <c r="J877" s="8" t="s">
        <v>22</v>
      </c>
      <c r="K877" s="6"/>
      <c r="L877" s="7">
        <v>45662</v>
      </c>
      <c r="M877" s="6" t="s">
        <v>32</v>
      </c>
      <c r="N877" s="8" t="s">
        <v>3374</v>
      </c>
      <c r="O877" s="6">
        <f>HYPERLINK("https://docs.wto.org/imrd/directdoc.asp?DDFDocuments/t/G/TBTN24/ARE640.DOCX", "https://docs.wto.org/imrd/directdoc.asp?DDFDocuments/t/G/TBTN24/ARE640.DOCX")</f>
      </c>
      <c r="P877" s="6">
        <f>HYPERLINK("https://docs.wto.org/imrd/directdoc.asp?DDFDocuments/u/G/TBTN24/ARE640.DOCX", "https://docs.wto.org/imrd/directdoc.asp?DDFDocuments/u/G/TBTN24/ARE640.DOCX")</f>
      </c>
      <c r="Q877" s="6">
        <f>HYPERLINK("https://docs.wto.org/imrd/directdoc.asp?DDFDocuments/v/G/TBTN24/ARE640.DOCX", "https://docs.wto.org/imrd/directdoc.asp?DDFDocuments/v/G/TBTN24/ARE640.DOCX")</f>
      </c>
    </row>
    <row r="878">
      <c r="A878" s="6" t="s">
        <v>49</v>
      </c>
      <c r="B878" s="7">
        <v>45602</v>
      </c>
      <c r="C878" s="9">
        <f>HYPERLINK("https://eping.wto.org/en/Search?viewData= G/SPS/N/TZA/394"," G/SPS/N/TZA/394")</f>
      </c>
      <c r="D878" s="8" t="s">
        <v>3404</v>
      </c>
      <c r="E878" s="8" t="s">
        <v>3405</v>
      </c>
      <c r="F878" s="8" t="s">
        <v>3406</v>
      </c>
      <c r="G878" s="8" t="s">
        <v>915</v>
      </c>
      <c r="H878" s="8" t="s">
        <v>866</v>
      </c>
      <c r="I878" s="8" t="s">
        <v>120</v>
      </c>
      <c r="J878" s="8" t="s">
        <v>416</v>
      </c>
      <c r="K878" s="6" t="s">
        <v>22</v>
      </c>
      <c r="L878" s="7">
        <v>45662</v>
      </c>
      <c r="M878" s="6" t="s">
        <v>32</v>
      </c>
      <c r="N878" s="8" t="s">
        <v>3407</v>
      </c>
      <c r="O878" s="6">
        <f>HYPERLINK("https://docs.wto.org/imrd/directdoc.asp?DDFDocuments/t/G/SPS/NTZA394.DOCX", "https://docs.wto.org/imrd/directdoc.asp?DDFDocuments/t/G/SPS/NTZA394.DOCX")</f>
      </c>
      <c r="P878" s="6">
        <f>HYPERLINK("https://docs.wto.org/imrd/directdoc.asp?DDFDocuments/u/G/SPS/NTZA394.DOCX", "https://docs.wto.org/imrd/directdoc.asp?DDFDocuments/u/G/SPS/NTZA394.DOCX")</f>
      </c>
      <c r="Q878" s="6">
        <f>HYPERLINK("https://docs.wto.org/imrd/directdoc.asp?DDFDocuments/v/G/SPS/NTZA394.DOCX", "https://docs.wto.org/imrd/directdoc.asp?DDFDocuments/v/G/SPS/NTZA394.DOCX")</f>
      </c>
    </row>
    <row r="879">
      <c r="A879" s="6" t="s">
        <v>53</v>
      </c>
      <c r="B879" s="7">
        <v>45602</v>
      </c>
      <c r="C879" s="9">
        <f>HYPERLINK("https://eping.wto.org/en/Search?viewData= G/TBT/N/BDI/526, G/TBT/N/KEN/1699, G/TBT/N/RWA/1093, G/TBT/N/TZA/1209, G/TBT/N/UGA/2036"," G/TBT/N/BDI/526, G/TBT/N/KEN/1699, G/TBT/N/RWA/1093, G/TBT/N/TZA/1209, G/TBT/N/UGA/2036")</f>
      </c>
      <c r="D879" s="8" t="s">
        <v>3389</v>
      </c>
      <c r="E879" s="8" t="s">
        <v>3390</v>
      </c>
      <c r="F879" s="8" t="s">
        <v>3305</v>
      </c>
      <c r="G879" s="8" t="s">
        <v>3306</v>
      </c>
      <c r="H879" s="8" t="s">
        <v>3307</v>
      </c>
      <c r="I879" s="8" t="s">
        <v>852</v>
      </c>
      <c r="J879" s="8" t="s">
        <v>22</v>
      </c>
      <c r="K879" s="6"/>
      <c r="L879" s="7">
        <v>45662</v>
      </c>
      <c r="M879" s="6" t="s">
        <v>32</v>
      </c>
      <c r="N879" s="8" t="s">
        <v>3391</v>
      </c>
      <c r="O879" s="6">
        <f>HYPERLINK("https://docs.wto.org/imrd/directdoc.asp?DDFDocuments/t/G/TBTN24/BDI526.DOCX", "https://docs.wto.org/imrd/directdoc.asp?DDFDocuments/t/G/TBTN24/BDI526.DOCX")</f>
      </c>
      <c r="P879" s="6">
        <f>HYPERLINK("https://docs.wto.org/imrd/directdoc.asp?DDFDocuments/u/G/TBTN24/BDI526.DOCX", "https://docs.wto.org/imrd/directdoc.asp?DDFDocuments/u/G/TBTN24/BDI526.DOCX")</f>
      </c>
      <c r="Q879" s="6">
        <f>HYPERLINK("https://docs.wto.org/imrd/directdoc.asp?DDFDocuments/v/G/TBTN24/BDI526.DOCX", "https://docs.wto.org/imrd/directdoc.asp?DDFDocuments/v/G/TBTN24/BDI526.DOCX")</f>
      </c>
    </row>
    <row r="880">
      <c r="A880" s="6" t="s">
        <v>1130</v>
      </c>
      <c r="B880" s="7">
        <v>45602</v>
      </c>
      <c r="C880" s="9">
        <f>HYPERLINK("https://eping.wto.org/en/Search?viewData= G/TBT/N/POL/5"," G/TBT/N/POL/5")</f>
      </c>
      <c r="D880" s="8" t="s">
        <v>3408</v>
      </c>
      <c r="E880" s="8" t="s">
        <v>3409</v>
      </c>
      <c r="F880" s="8" t="s">
        <v>3410</v>
      </c>
      <c r="G880" s="8" t="s">
        <v>22</v>
      </c>
      <c r="H880" s="8" t="s">
        <v>3411</v>
      </c>
      <c r="I880" s="8" t="s">
        <v>701</v>
      </c>
      <c r="J880" s="8" t="s">
        <v>22</v>
      </c>
      <c r="K880" s="6"/>
      <c r="L880" s="7">
        <v>45662</v>
      </c>
      <c r="M880" s="6" t="s">
        <v>32</v>
      </c>
      <c r="N880" s="8" t="s">
        <v>3412</v>
      </c>
      <c r="O880" s="6">
        <f>HYPERLINK("https://docs.wto.org/imrd/directdoc.asp?DDFDocuments/t/G/TBTN24/POL5.DOCX", "https://docs.wto.org/imrd/directdoc.asp?DDFDocuments/t/G/TBTN24/POL5.DOCX")</f>
      </c>
      <c r="P880" s="6">
        <f>HYPERLINK("https://docs.wto.org/imrd/directdoc.asp?DDFDocuments/u/G/TBTN24/POL5.DOCX", "https://docs.wto.org/imrd/directdoc.asp?DDFDocuments/u/G/TBTN24/POL5.DOCX")</f>
      </c>
      <c r="Q880" s="6">
        <f>HYPERLINK("https://docs.wto.org/imrd/directdoc.asp?DDFDocuments/v/G/TBTN24/POL5.DOCX", "https://docs.wto.org/imrd/directdoc.asp?DDFDocuments/v/G/TBTN24/POL5.DOCX")</f>
      </c>
    </row>
    <row r="881">
      <c r="A881" s="6" t="s">
        <v>1890</v>
      </c>
      <c r="B881" s="7">
        <v>45602</v>
      </c>
      <c r="C881" s="9">
        <f>HYPERLINK("https://eping.wto.org/en/Search?viewData= G/SPS/N/RUS/299"," G/SPS/N/RUS/299")</f>
      </c>
      <c r="D881" s="8" t="s">
        <v>3413</v>
      </c>
      <c r="E881" s="8" t="s">
        <v>3414</v>
      </c>
      <c r="F881" s="8" t="s">
        <v>3415</v>
      </c>
      <c r="G881" s="8" t="s">
        <v>3416</v>
      </c>
      <c r="H881" s="8" t="s">
        <v>22</v>
      </c>
      <c r="I881" s="8" t="s">
        <v>348</v>
      </c>
      <c r="J881" s="8" t="s">
        <v>3417</v>
      </c>
      <c r="K881" s="6" t="s">
        <v>3418</v>
      </c>
      <c r="L881" s="7" t="s">
        <v>22</v>
      </c>
      <c r="M881" s="6" t="s">
        <v>331</v>
      </c>
      <c r="N881" s="8" t="s">
        <v>3419</v>
      </c>
      <c r="O881" s="6">
        <f>HYPERLINK("https://docs.wto.org/imrd/directdoc.asp?DDFDocuments/t/G/SPS/NRUS299.DOCX", "https://docs.wto.org/imrd/directdoc.asp?DDFDocuments/t/G/SPS/NRUS299.DOCX")</f>
      </c>
      <c r="P881" s="6">
        <f>HYPERLINK("https://docs.wto.org/imrd/directdoc.asp?DDFDocuments/u/G/SPS/NRUS299.DOCX", "https://docs.wto.org/imrd/directdoc.asp?DDFDocuments/u/G/SPS/NRUS299.DOCX")</f>
      </c>
      <c r="Q881" s="6">
        <f>HYPERLINK("https://docs.wto.org/imrd/directdoc.asp?DDFDocuments/v/G/SPS/NRUS299.DOCX", "https://docs.wto.org/imrd/directdoc.asp?DDFDocuments/v/G/SPS/NRUS299.DOCX")</f>
      </c>
    </row>
    <row r="882">
      <c r="A882" s="6" t="s">
        <v>170</v>
      </c>
      <c r="B882" s="7">
        <v>45602</v>
      </c>
      <c r="C882" s="9">
        <f>HYPERLINK("https://eping.wto.org/en/Search?viewData= G/SPS/N/SAU/537/Add.1"," G/SPS/N/SAU/537/Add.1")</f>
      </c>
      <c r="D882" s="8" t="s">
        <v>3420</v>
      </c>
      <c r="E882" s="8" t="s">
        <v>3421</v>
      </c>
      <c r="F882" s="8" t="s">
        <v>173</v>
      </c>
      <c r="G882" s="8" t="s">
        <v>174</v>
      </c>
      <c r="H882" s="8" t="s">
        <v>22</v>
      </c>
      <c r="I882" s="8" t="s">
        <v>175</v>
      </c>
      <c r="J882" s="8" t="s">
        <v>3422</v>
      </c>
      <c r="K882" s="6"/>
      <c r="L882" s="7" t="s">
        <v>22</v>
      </c>
      <c r="M882" s="6" t="s">
        <v>24</v>
      </c>
      <c r="N882" s="8" t="s">
        <v>3423</v>
      </c>
      <c r="O882" s="6">
        <f>HYPERLINK("https://docs.wto.org/imrd/directdoc.asp?DDFDocuments/t/G/SPS/NSAU537A1.DOCX", "https://docs.wto.org/imrd/directdoc.asp?DDFDocuments/t/G/SPS/NSAU537A1.DOCX")</f>
      </c>
      <c r="P882" s="6">
        <f>HYPERLINK("https://docs.wto.org/imrd/directdoc.asp?DDFDocuments/u/G/SPS/NSAU537A1.DOCX", "https://docs.wto.org/imrd/directdoc.asp?DDFDocuments/u/G/SPS/NSAU537A1.DOCX")</f>
      </c>
      <c r="Q882" s="6">
        <f>HYPERLINK("https://docs.wto.org/imrd/directdoc.asp?DDFDocuments/v/G/SPS/NSAU537A1.DOCX", "https://docs.wto.org/imrd/directdoc.asp?DDFDocuments/v/G/SPS/NSAU537A1.DOCX")</f>
      </c>
    </row>
    <row r="883">
      <c r="A883" s="6" t="s">
        <v>49</v>
      </c>
      <c r="B883" s="7">
        <v>45602</v>
      </c>
      <c r="C883" s="9">
        <f>HYPERLINK("https://eping.wto.org/en/Search?viewData= G/TBT/N/TZA/1206"," G/TBT/N/TZA/1206")</f>
      </c>
      <c r="D883" s="8" t="s">
        <v>3424</v>
      </c>
      <c r="E883" s="8" t="s">
        <v>3425</v>
      </c>
      <c r="F883" s="8" t="s">
        <v>3426</v>
      </c>
      <c r="G883" s="8" t="s">
        <v>3427</v>
      </c>
      <c r="H883" s="8" t="s">
        <v>872</v>
      </c>
      <c r="I883" s="8" t="s">
        <v>3379</v>
      </c>
      <c r="J883" s="8" t="s">
        <v>58</v>
      </c>
      <c r="K883" s="6"/>
      <c r="L883" s="7">
        <v>45662</v>
      </c>
      <c r="M883" s="6" t="s">
        <v>32</v>
      </c>
      <c r="N883" s="8" t="s">
        <v>3428</v>
      </c>
      <c r="O883" s="6">
        <f>HYPERLINK("https://docs.wto.org/imrd/directdoc.asp?DDFDocuments/t/G/TBTN24/TZA1206.DOCX", "https://docs.wto.org/imrd/directdoc.asp?DDFDocuments/t/G/TBTN24/TZA1206.DOCX")</f>
      </c>
      <c r="P883" s="6">
        <f>HYPERLINK("https://docs.wto.org/imrd/directdoc.asp?DDFDocuments/u/G/TBTN24/TZA1206.DOCX", "https://docs.wto.org/imrd/directdoc.asp?DDFDocuments/u/G/TBTN24/TZA1206.DOCX")</f>
      </c>
      <c r="Q883" s="6">
        <f>HYPERLINK("https://docs.wto.org/imrd/directdoc.asp?DDFDocuments/v/G/TBTN24/TZA1206.DOCX", "https://docs.wto.org/imrd/directdoc.asp?DDFDocuments/v/G/TBTN24/TZA1206.DOCX")</f>
      </c>
    </row>
    <row r="884">
      <c r="A884" s="6" t="s">
        <v>3272</v>
      </c>
      <c r="B884" s="7">
        <v>45602</v>
      </c>
      <c r="C884" s="9">
        <f>HYPERLINK("https://eping.wto.org/en/Search?viewData= G/TBT/N/ARE/640, G/TBT/N/BHR/725, G/TBT/N/KWT/705, G/TBT/N/OMN/548, G/TBT/N/QAT/699, G/TBT/N/SAU/1369, G/TBT/N/YEM/305"," G/TBT/N/ARE/640, G/TBT/N/BHR/725, G/TBT/N/KWT/705, G/TBT/N/OMN/548, G/TBT/N/QAT/699, G/TBT/N/SAU/1369, G/TBT/N/YEM/305")</f>
      </c>
      <c r="D884" s="8" t="s">
        <v>3369</v>
      </c>
      <c r="E884" s="8" t="s">
        <v>3370</v>
      </c>
      <c r="F884" s="8" t="s">
        <v>3371</v>
      </c>
      <c r="G884" s="8" t="s">
        <v>22</v>
      </c>
      <c r="H884" s="8" t="s">
        <v>3372</v>
      </c>
      <c r="I884" s="8" t="s">
        <v>3373</v>
      </c>
      <c r="J884" s="8" t="s">
        <v>22</v>
      </c>
      <c r="K884" s="6"/>
      <c r="L884" s="7">
        <v>45662</v>
      </c>
      <c r="M884" s="6" t="s">
        <v>32</v>
      </c>
      <c r="N884" s="8" t="s">
        <v>3374</v>
      </c>
      <c r="O884" s="6">
        <f>HYPERLINK("https://docs.wto.org/imrd/directdoc.asp?DDFDocuments/t/G/TBTN24/ARE640.DOCX", "https://docs.wto.org/imrd/directdoc.asp?DDFDocuments/t/G/TBTN24/ARE640.DOCX")</f>
      </c>
      <c r="P884" s="6">
        <f>HYPERLINK("https://docs.wto.org/imrd/directdoc.asp?DDFDocuments/u/G/TBTN24/ARE640.DOCX", "https://docs.wto.org/imrd/directdoc.asp?DDFDocuments/u/G/TBTN24/ARE640.DOCX")</f>
      </c>
      <c r="Q884" s="6">
        <f>HYPERLINK("https://docs.wto.org/imrd/directdoc.asp?DDFDocuments/v/G/TBTN24/ARE640.DOCX", "https://docs.wto.org/imrd/directdoc.asp?DDFDocuments/v/G/TBTN24/ARE640.DOCX")</f>
      </c>
    </row>
    <row r="885">
      <c r="A885" s="6" t="s">
        <v>49</v>
      </c>
      <c r="B885" s="7">
        <v>45602</v>
      </c>
      <c r="C885" s="9">
        <f>HYPERLINK("https://eping.wto.org/en/Search?viewData= G/TBT/N/TZA/1204"," G/TBT/N/TZA/1204")</f>
      </c>
      <c r="D885" s="8" t="s">
        <v>3429</v>
      </c>
      <c r="E885" s="8" t="s">
        <v>3430</v>
      </c>
      <c r="F885" s="8" t="s">
        <v>3431</v>
      </c>
      <c r="G885" s="8" t="s">
        <v>3432</v>
      </c>
      <c r="H885" s="8" t="s">
        <v>2675</v>
      </c>
      <c r="I885" s="8" t="s">
        <v>3379</v>
      </c>
      <c r="J885" s="8" t="s">
        <v>58</v>
      </c>
      <c r="K885" s="6"/>
      <c r="L885" s="7">
        <v>45662</v>
      </c>
      <c r="M885" s="6" t="s">
        <v>32</v>
      </c>
      <c r="N885" s="8" t="s">
        <v>3433</v>
      </c>
      <c r="O885" s="6">
        <f>HYPERLINK("https://docs.wto.org/imrd/directdoc.asp?DDFDocuments/t/G/TBTN24/TZA1204.DOCX", "https://docs.wto.org/imrd/directdoc.asp?DDFDocuments/t/G/TBTN24/TZA1204.DOCX")</f>
      </c>
      <c r="P885" s="6">
        <f>HYPERLINK("https://docs.wto.org/imrd/directdoc.asp?DDFDocuments/u/G/TBTN24/TZA1204.DOCX", "https://docs.wto.org/imrd/directdoc.asp?DDFDocuments/u/G/TBTN24/TZA1204.DOCX")</f>
      </c>
      <c r="Q885" s="6">
        <f>HYPERLINK("https://docs.wto.org/imrd/directdoc.asp?DDFDocuments/v/G/TBTN24/TZA1204.DOCX", "https://docs.wto.org/imrd/directdoc.asp?DDFDocuments/v/G/TBTN24/TZA1204.DOCX")</f>
      </c>
    </row>
    <row r="886">
      <c r="A886" s="6" t="s">
        <v>68</v>
      </c>
      <c r="B886" s="7">
        <v>45602</v>
      </c>
      <c r="C886" s="9">
        <f>HYPERLINK("https://eping.wto.org/en/Search?viewData= G/TBT/N/BDI/526, G/TBT/N/KEN/1699, G/TBT/N/RWA/1093, G/TBT/N/TZA/1209, G/TBT/N/UGA/2036"," G/TBT/N/BDI/526, G/TBT/N/KEN/1699, G/TBT/N/RWA/1093, G/TBT/N/TZA/1209, G/TBT/N/UGA/2036")</f>
      </c>
      <c r="D886" s="8" t="s">
        <v>3389</v>
      </c>
      <c r="E886" s="8" t="s">
        <v>3390</v>
      </c>
      <c r="F886" s="8" t="s">
        <v>3305</v>
      </c>
      <c r="G886" s="8" t="s">
        <v>3306</v>
      </c>
      <c r="H886" s="8" t="s">
        <v>3307</v>
      </c>
      <c r="I886" s="8" t="s">
        <v>852</v>
      </c>
      <c r="J886" s="8" t="s">
        <v>22</v>
      </c>
      <c r="K886" s="6"/>
      <c r="L886" s="7">
        <v>45662</v>
      </c>
      <c r="M886" s="6" t="s">
        <v>32</v>
      </c>
      <c r="N886" s="8" t="s">
        <v>3391</v>
      </c>
      <c r="O886" s="6">
        <f>HYPERLINK("https://docs.wto.org/imrd/directdoc.asp?DDFDocuments/t/G/TBTN24/BDI526.DOCX", "https://docs.wto.org/imrd/directdoc.asp?DDFDocuments/t/G/TBTN24/BDI526.DOCX")</f>
      </c>
      <c r="P886" s="6">
        <f>HYPERLINK("https://docs.wto.org/imrd/directdoc.asp?DDFDocuments/u/G/TBTN24/BDI526.DOCX", "https://docs.wto.org/imrd/directdoc.asp?DDFDocuments/u/G/TBTN24/BDI526.DOCX")</f>
      </c>
      <c r="Q886" s="6">
        <f>HYPERLINK("https://docs.wto.org/imrd/directdoc.asp?DDFDocuments/v/G/TBTN24/BDI526.DOCX", "https://docs.wto.org/imrd/directdoc.asp?DDFDocuments/v/G/TBTN24/BDI526.DOCX")</f>
      </c>
    </row>
    <row r="887">
      <c r="A887" s="6" t="s">
        <v>374</v>
      </c>
      <c r="B887" s="7">
        <v>45602</v>
      </c>
      <c r="C887" s="9">
        <f>HYPERLINK("https://eping.wto.org/en/Search?viewData= G/SPS/N/CRI/287"," G/SPS/N/CRI/287")</f>
      </c>
      <c r="D887" s="8" t="s">
        <v>3434</v>
      </c>
      <c r="E887" s="8" t="s">
        <v>3435</v>
      </c>
      <c r="F887" s="8" t="s">
        <v>3436</v>
      </c>
      <c r="G887" s="8" t="s">
        <v>3437</v>
      </c>
      <c r="H887" s="8" t="s">
        <v>22</v>
      </c>
      <c r="I887" s="8" t="s">
        <v>390</v>
      </c>
      <c r="J887" s="8" t="s">
        <v>391</v>
      </c>
      <c r="K887" s="6" t="s">
        <v>400</v>
      </c>
      <c r="L887" s="7">
        <v>45662</v>
      </c>
      <c r="M887" s="6" t="s">
        <v>32</v>
      </c>
      <c r="N887" s="8" t="s">
        <v>3438</v>
      </c>
      <c r="O887" s="6">
        <f>HYPERLINK("https://docs.wto.org/imrd/directdoc.asp?DDFDocuments/t/G/SPS/NCRI287.DOCX", "https://docs.wto.org/imrd/directdoc.asp?DDFDocuments/t/G/SPS/NCRI287.DOCX")</f>
      </c>
      <c r="P887" s="6">
        <f>HYPERLINK("https://docs.wto.org/imrd/directdoc.asp?DDFDocuments/u/G/SPS/NCRI287.DOCX", "https://docs.wto.org/imrd/directdoc.asp?DDFDocuments/u/G/SPS/NCRI287.DOCX")</f>
      </c>
      <c r="Q887" s="6">
        <f>HYPERLINK("https://docs.wto.org/imrd/directdoc.asp?DDFDocuments/v/G/SPS/NCRI287.DOCX", "https://docs.wto.org/imrd/directdoc.asp?DDFDocuments/v/G/SPS/NCRI287.DOCX")</f>
      </c>
    </row>
    <row r="888">
      <c r="A888" s="6" t="s">
        <v>49</v>
      </c>
      <c r="B888" s="7">
        <v>45602</v>
      </c>
      <c r="C888" s="9">
        <f>HYPERLINK("https://eping.wto.org/en/Search?viewData= G/TBT/N/TZA/1201"," G/TBT/N/TZA/1201")</f>
      </c>
      <c r="D888" s="8" t="s">
        <v>3439</v>
      </c>
      <c r="E888" s="8" t="s">
        <v>3440</v>
      </c>
      <c r="F888" s="8" t="s">
        <v>3441</v>
      </c>
      <c r="G888" s="8" t="s">
        <v>3442</v>
      </c>
      <c r="H888" s="8" t="s">
        <v>866</v>
      </c>
      <c r="I888" s="8" t="s">
        <v>2162</v>
      </c>
      <c r="J888" s="8" t="s">
        <v>58</v>
      </c>
      <c r="K888" s="6"/>
      <c r="L888" s="7">
        <v>45662</v>
      </c>
      <c r="M888" s="6" t="s">
        <v>32</v>
      </c>
      <c r="N888" s="8" t="s">
        <v>3443</v>
      </c>
      <c r="O888" s="6">
        <f>HYPERLINK("https://docs.wto.org/imrd/directdoc.asp?DDFDocuments/t/G/TBTN24/TZA1201.DOCX", "https://docs.wto.org/imrd/directdoc.asp?DDFDocuments/t/G/TBTN24/TZA1201.DOCX")</f>
      </c>
      <c r="P888" s="6">
        <f>HYPERLINK("https://docs.wto.org/imrd/directdoc.asp?DDFDocuments/u/G/TBTN24/TZA1201.DOCX", "https://docs.wto.org/imrd/directdoc.asp?DDFDocuments/u/G/TBTN24/TZA1201.DOCX")</f>
      </c>
      <c r="Q888" s="6">
        <f>HYPERLINK("https://docs.wto.org/imrd/directdoc.asp?DDFDocuments/v/G/TBTN24/TZA1201.DOCX", "https://docs.wto.org/imrd/directdoc.asp?DDFDocuments/v/G/TBTN24/TZA1201.DOCX")</f>
      </c>
    </row>
    <row r="889">
      <c r="A889" s="6" t="s">
        <v>400</v>
      </c>
      <c r="B889" s="7">
        <v>45602</v>
      </c>
      <c r="C889" s="9">
        <f>HYPERLINK("https://eping.wto.org/en/Search?viewData= G/TBT/N/USA/2091/Add.2"," G/TBT/N/USA/2091/Add.2")</f>
      </c>
      <c r="D889" s="8" t="s">
        <v>3444</v>
      </c>
      <c r="E889" s="8" t="s">
        <v>3445</v>
      </c>
      <c r="F889" s="8" t="s">
        <v>3446</v>
      </c>
      <c r="G889" s="8" t="s">
        <v>22</v>
      </c>
      <c r="H889" s="8" t="s">
        <v>3447</v>
      </c>
      <c r="I889" s="8" t="s">
        <v>286</v>
      </c>
      <c r="J889" s="8" t="s">
        <v>22</v>
      </c>
      <c r="K889" s="6"/>
      <c r="L889" s="7" t="s">
        <v>22</v>
      </c>
      <c r="M889" s="6" t="s">
        <v>40</v>
      </c>
      <c r="N889" s="8" t="s">
        <v>3448</v>
      </c>
      <c r="O889" s="6">
        <f>HYPERLINK("https://docs.wto.org/imrd/directdoc.asp?DDFDocuments/t/G/TBTN24/USA2091A2.DOCX", "https://docs.wto.org/imrd/directdoc.asp?DDFDocuments/t/G/TBTN24/USA2091A2.DOCX")</f>
      </c>
      <c r="P889" s="6">
        <f>HYPERLINK("https://docs.wto.org/imrd/directdoc.asp?DDFDocuments/u/G/TBTN24/USA2091A2.DOCX", "https://docs.wto.org/imrd/directdoc.asp?DDFDocuments/u/G/TBTN24/USA2091A2.DOCX")</f>
      </c>
      <c r="Q889" s="6">
        <f>HYPERLINK("https://docs.wto.org/imrd/directdoc.asp?DDFDocuments/v/G/TBTN24/USA2091A2.DOCX", "https://docs.wto.org/imrd/directdoc.asp?DDFDocuments/v/G/TBTN24/USA2091A2.DOCX")</f>
      </c>
    </row>
    <row r="890">
      <c r="A890" s="6" t="s">
        <v>49</v>
      </c>
      <c r="B890" s="7">
        <v>45602</v>
      </c>
      <c r="C890" s="9">
        <f>HYPERLINK("https://eping.wto.org/en/Search?viewData= G/TBT/N/TZA/1202"," G/TBT/N/TZA/1202")</f>
      </c>
      <c r="D890" s="8" t="s">
        <v>3449</v>
      </c>
      <c r="E890" s="8" t="s">
        <v>3450</v>
      </c>
      <c r="F890" s="8" t="s">
        <v>3451</v>
      </c>
      <c r="G890" s="8" t="s">
        <v>3452</v>
      </c>
      <c r="H890" s="8" t="s">
        <v>866</v>
      </c>
      <c r="I890" s="8" t="s">
        <v>3379</v>
      </c>
      <c r="J890" s="8" t="s">
        <v>58</v>
      </c>
      <c r="K890" s="6"/>
      <c r="L890" s="7">
        <v>45662</v>
      </c>
      <c r="M890" s="6" t="s">
        <v>32</v>
      </c>
      <c r="N890" s="8" t="s">
        <v>3453</v>
      </c>
      <c r="O890" s="6">
        <f>HYPERLINK("https://docs.wto.org/imrd/directdoc.asp?DDFDocuments/t/G/TBTN24/TZA1202.DOCX", "https://docs.wto.org/imrd/directdoc.asp?DDFDocuments/t/G/TBTN24/TZA1202.DOCX")</f>
      </c>
      <c r="P890" s="6">
        <f>HYPERLINK("https://docs.wto.org/imrd/directdoc.asp?DDFDocuments/u/G/TBTN24/TZA1202.DOCX", "https://docs.wto.org/imrd/directdoc.asp?DDFDocuments/u/G/TBTN24/TZA1202.DOCX")</f>
      </c>
      <c r="Q890" s="6">
        <f>HYPERLINK("https://docs.wto.org/imrd/directdoc.asp?DDFDocuments/v/G/TBTN24/TZA1202.DOCX", "https://docs.wto.org/imrd/directdoc.asp?DDFDocuments/v/G/TBTN24/TZA1202.DOCX")</f>
      </c>
    </row>
    <row r="891">
      <c r="A891" s="6" t="s">
        <v>60</v>
      </c>
      <c r="B891" s="7">
        <v>45602</v>
      </c>
      <c r="C891" s="9">
        <f>HYPERLINK("https://eping.wto.org/en/Search?viewData= G/TBT/N/BDI/526, G/TBT/N/KEN/1699, G/TBT/N/RWA/1093, G/TBT/N/TZA/1209, G/TBT/N/UGA/2036"," G/TBT/N/BDI/526, G/TBT/N/KEN/1699, G/TBT/N/RWA/1093, G/TBT/N/TZA/1209, G/TBT/N/UGA/2036")</f>
      </c>
      <c r="D891" s="8" t="s">
        <v>3389</v>
      </c>
      <c r="E891" s="8" t="s">
        <v>3390</v>
      </c>
      <c r="F891" s="8" t="s">
        <v>3305</v>
      </c>
      <c r="G891" s="8" t="s">
        <v>3306</v>
      </c>
      <c r="H891" s="8" t="s">
        <v>3307</v>
      </c>
      <c r="I891" s="8" t="s">
        <v>852</v>
      </c>
      <c r="J891" s="8" t="s">
        <v>22</v>
      </c>
      <c r="K891" s="6"/>
      <c r="L891" s="7">
        <v>45662</v>
      </c>
      <c r="M891" s="6" t="s">
        <v>32</v>
      </c>
      <c r="N891" s="8" t="s">
        <v>3391</v>
      </c>
      <c r="O891" s="6">
        <f>HYPERLINK("https://docs.wto.org/imrd/directdoc.asp?DDFDocuments/t/G/TBTN24/BDI526.DOCX", "https://docs.wto.org/imrd/directdoc.asp?DDFDocuments/t/G/TBTN24/BDI526.DOCX")</f>
      </c>
      <c r="P891" s="6">
        <f>HYPERLINK("https://docs.wto.org/imrd/directdoc.asp?DDFDocuments/u/G/TBTN24/BDI526.DOCX", "https://docs.wto.org/imrd/directdoc.asp?DDFDocuments/u/G/TBTN24/BDI526.DOCX")</f>
      </c>
      <c r="Q891" s="6">
        <f>HYPERLINK("https://docs.wto.org/imrd/directdoc.asp?DDFDocuments/v/G/TBTN24/BDI526.DOCX", "https://docs.wto.org/imrd/directdoc.asp?DDFDocuments/v/G/TBTN24/BDI526.DOCX")</f>
      </c>
    </row>
    <row r="892">
      <c r="A892" s="6" t="s">
        <v>400</v>
      </c>
      <c r="B892" s="7">
        <v>45602</v>
      </c>
      <c r="C892" s="9">
        <f>HYPERLINK("https://eping.wto.org/en/Search?viewData= G/TBT/N/USA/2157"," G/TBT/N/USA/2157")</f>
      </c>
      <c r="D892" s="8" t="s">
        <v>3454</v>
      </c>
      <c r="E892" s="8" t="s">
        <v>3455</v>
      </c>
      <c r="F892" s="8" t="s">
        <v>3456</v>
      </c>
      <c r="G892" s="8" t="s">
        <v>3457</v>
      </c>
      <c r="H892" s="8" t="s">
        <v>3458</v>
      </c>
      <c r="I892" s="8" t="s">
        <v>183</v>
      </c>
      <c r="J892" s="8" t="s">
        <v>22</v>
      </c>
      <c r="K892" s="6"/>
      <c r="L892" s="7">
        <v>45631</v>
      </c>
      <c r="M892" s="6" t="s">
        <v>32</v>
      </c>
      <c r="N892" s="8" t="s">
        <v>3459</v>
      </c>
      <c r="O892" s="6">
        <f>HYPERLINK("https://docs.wto.org/imrd/directdoc.asp?DDFDocuments/t/G/TBTN24/USA2157.DOCX", "https://docs.wto.org/imrd/directdoc.asp?DDFDocuments/t/G/TBTN24/USA2157.DOCX")</f>
      </c>
      <c r="P892" s="6">
        <f>HYPERLINK("https://docs.wto.org/imrd/directdoc.asp?DDFDocuments/u/G/TBTN24/USA2157.DOCX", "https://docs.wto.org/imrd/directdoc.asp?DDFDocuments/u/G/TBTN24/USA2157.DOCX")</f>
      </c>
      <c r="Q892" s="6">
        <f>HYPERLINK("https://docs.wto.org/imrd/directdoc.asp?DDFDocuments/v/G/TBTN24/USA2157.DOCX", "https://docs.wto.org/imrd/directdoc.asp?DDFDocuments/v/G/TBTN24/USA2157.DOCX")</f>
      </c>
    </row>
    <row r="893">
      <c r="A893" s="6" t="s">
        <v>360</v>
      </c>
      <c r="B893" s="7">
        <v>45602</v>
      </c>
      <c r="C893" s="9">
        <f>HYPERLINK("https://eping.wto.org/en/Search?viewData= G/TBT/N/CHL/707"," G/TBT/N/CHL/707")</f>
      </c>
      <c r="D893" s="8" t="s">
        <v>3460</v>
      </c>
      <c r="E893" s="8" t="s">
        <v>3461</v>
      </c>
      <c r="F893" s="8" t="s">
        <v>3462</v>
      </c>
      <c r="G893" s="8" t="s">
        <v>3463</v>
      </c>
      <c r="H893" s="8" t="s">
        <v>3464</v>
      </c>
      <c r="I893" s="8" t="s">
        <v>1482</v>
      </c>
      <c r="J893" s="8" t="s">
        <v>558</v>
      </c>
      <c r="K893" s="6"/>
      <c r="L893" s="7">
        <v>45662</v>
      </c>
      <c r="M893" s="6" t="s">
        <v>32</v>
      </c>
      <c r="N893" s="8" t="s">
        <v>3465</v>
      </c>
      <c r="O893" s="6">
        <f>HYPERLINK("https://docs.wto.org/imrd/directdoc.asp?DDFDocuments/t/G/TBTN24/CHL707.DOCX", "https://docs.wto.org/imrd/directdoc.asp?DDFDocuments/t/G/TBTN24/CHL707.DOCX")</f>
      </c>
      <c r="P893" s="6">
        <f>HYPERLINK("https://docs.wto.org/imrd/directdoc.asp?DDFDocuments/u/G/TBTN24/CHL707.DOCX", "https://docs.wto.org/imrd/directdoc.asp?DDFDocuments/u/G/TBTN24/CHL707.DOCX")</f>
      </c>
      <c r="Q893" s="6">
        <f>HYPERLINK("https://docs.wto.org/imrd/directdoc.asp?DDFDocuments/v/G/TBTN24/CHL707.DOCX", "https://docs.wto.org/imrd/directdoc.asp?DDFDocuments/v/G/TBTN24/CHL707.DOCX")</f>
      </c>
    </row>
    <row r="894">
      <c r="A894" s="6" t="s">
        <v>49</v>
      </c>
      <c r="B894" s="7">
        <v>45602</v>
      </c>
      <c r="C894" s="9">
        <f>HYPERLINK("https://eping.wto.org/en/Search?viewData= G/TBT/N/TZA/1205"," G/TBT/N/TZA/1205")</f>
      </c>
      <c r="D894" s="8" t="s">
        <v>3466</v>
      </c>
      <c r="E894" s="8" t="s">
        <v>3398</v>
      </c>
      <c r="F894" s="8" t="s">
        <v>3399</v>
      </c>
      <c r="G894" s="8" t="s">
        <v>1393</v>
      </c>
      <c r="H894" s="8" t="s">
        <v>872</v>
      </c>
      <c r="I894" s="8" t="s">
        <v>3379</v>
      </c>
      <c r="J894" s="8" t="s">
        <v>58</v>
      </c>
      <c r="K894" s="6"/>
      <c r="L894" s="7">
        <v>45662</v>
      </c>
      <c r="M894" s="6" t="s">
        <v>32</v>
      </c>
      <c r="N894" s="8" t="s">
        <v>3467</v>
      </c>
      <c r="O894" s="6">
        <f>HYPERLINK("https://docs.wto.org/imrd/directdoc.asp?DDFDocuments/t/G/TBTN24/TZA1205.DOCX", "https://docs.wto.org/imrd/directdoc.asp?DDFDocuments/t/G/TBTN24/TZA1205.DOCX")</f>
      </c>
      <c r="P894" s="6">
        <f>HYPERLINK("https://docs.wto.org/imrd/directdoc.asp?DDFDocuments/u/G/TBTN24/TZA1205.DOCX", "https://docs.wto.org/imrd/directdoc.asp?DDFDocuments/u/G/TBTN24/TZA1205.DOCX")</f>
      </c>
      <c r="Q894" s="6">
        <f>HYPERLINK("https://docs.wto.org/imrd/directdoc.asp?DDFDocuments/v/G/TBTN24/TZA1205.DOCX", "https://docs.wto.org/imrd/directdoc.asp?DDFDocuments/v/G/TBTN24/TZA1205.DOCX")</f>
      </c>
    </row>
    <row r="895">
      <c r="A895" s="6" t="s">
        <v>49</v>
      </c>
      <c r="B895" s="7">
        <v>45602</v>
      </c>
      <c r="C895" s="9">
        <f>HYPERLINK("https://eping.wto.org/en/Search?viewData= G/SPS/N/TZA/392"," G/SPS/N/TZA/392")</f>
      </c>
      <c r="D895" s="8" t="s">
        <v>3468</v>
      </c>
      <c r="E895" s="8" t="s">
        <v>3469</v>
      </c>
      <c r="F895" s="8" t="s">
        <v>3431</v>
      </c>
      <c r="G895" s="8" t="s">
        <v>3432</v>
      </c>
      <c r="H895" s="8" t="s">
        <v>2675</v>
      </c>
      <c r="I895" s="8" t="s">
        <v>120</v>
      </c>
      <c r="J895" s="8" t="s">
        <v>255</v>
      </c>
      <c r="K895" s="6" t="s">
        <v>22</v>
      </c>
      <c r="L895" s="7">
        <v>45662</v>
      </c>
      <c r="M895" s="6" t="s">
        <v>32</v>
      </c>
      <c r="N895" s="8" t="s">
        <v>3470</v>
      </c>
      <c r="O895" s="6">
        <f>HYPERLINK("https://docs.wto.org/imrd/directdoc.asp?DDFDocuments/t/G/SPS/NTZA392.DOCX", "https://docs.wto.org/imrd/directdoc.asp?DDFDocuments/t/G/SPS/NTZA392.DOCX")</f>
      </c>
      <c r="P895" s="6">
        <f>HYPERLINK("https://docs.wto.org/imrd/directdoc.asp?DDFDocuments/u/G/SPS/NTZA392.DOCX", "https://docs.wto.org/imrd/directdoc.asp?DDFDocuments/u/G/SPS/NTZA392.DOCX")</f>
      </c>
      <c r="Q895" s="6">
        <f>HYPERLINK("https://docs.wto.org/imrd/directdoc.asp?DDFDocuments/v/G/SPS/NTZA392.DOCX", "https://docs.wto.org/imrd/directdoc.asp?DDFDocuments/v/G/SPS/NTZA392.DOCX")</f>
      </c>
    </row>
    <row r="896">
      <c r="A896" s="6" t="s">
        <v>49</v>
      </c>
      <c r="B896" s="7">
        <v>45602</v>
      </c>
      <c r="C896" s="9">
        <f>HYPERLINK("https://eping.wto.org/en/Search?viewData= G/SPS/N/TZA/395"," G/SPS/N/TZA/395")</f>
      </c>
      <c r="D896" s="8" t="s">
        <v>3471</v>
      </c>
      <c r="E896" s="8" t="s">
        <v>3472</v>
      </c>
      <c r="F896" s="8" t="s">
        <v>3399</v>
      </c>
      <c r="G896" s="8" t="s">
        <v>1393</v>
      </c>
      <c r="H896" s="8" t="s">
        <v>872</v>
      </c>
      <c r="I896" s="8" t="s">
        <v>120</v>
      </c>
      <c r="J896" s="8" t="s">
        <v>255</v>
      </c>
      <c r="K896" s="6" t="s">
        <v>22</v>
      </c>
      <c r="L896" s="7">
        <v>45662</v>
      </c>
      <c r="M896" s="6" t="s">
        <v>32</v>
      </c>
      <c r="N896" s="8" t="s">
        <v>3473</v>
      </c>
      <c r="O896" s="6">
        <f>HYPERLINK("https://docs.wto.org/imrd/directdoc.asp?DDFDocuments/t/G/SPS/NTZA395.DOCX", "https://docs.wto.org/imrd/directdoc.asp?DDFDocuments/t/G/SPS/NTZA395.DOCX")</f>
      </c>
      <c r="P896" s="6">
        <f>HYPERLINK("https://docs.wto.org/imrd/directdoc.asp?DDFDocuments/u/G/SPS/NTZA395.DOCX", "https://docs.wto.org/imrd/directdoc.asp?DDFDocuments/u/G/SPS/NTZA395.DOCX")</f>
      </c>
      <c r="Q896" s="6">
        <f>HYPERLINK("https://docs.wto.org/imrd/directdoc.asp?DDFDocuments/v/G/SPS/NTZA395.DOCX", "https://docs.wto.org/imrd/directdoc.asp?DDFDocuments/v/G/SPS/NTZA395.DOCX")</f>
      </c>
    </row>
    <row r="897">
      <c r="A897" s="6" t="s">
        <v>1890</v>
      </c>
      <c r="B897" s="7">
        <v>45601</v>
      </c>
      <c r="C897" s="9">
        <f>HYPERLINK("https://eping.wto.org/en/Search?viewData= G/SPS/N/RUS/298"," G/SPS/N/RUS/298")</f>
      </c>
      <c r="D897" s="8" t="s">
        <v>3474</v>
      </c>
      <c r="E897" s="8" t="s">
        <v>3475</v>
      </c>
      <c r="F897" s="8" t="s">
        <v>3476</v>
      </c>
      <c r="G897" s="8" t="s">
        <v>3477</v>
      </c>
      <c r="H897" s="8" t="s">
        <v>22</v>
      </c>
      <c r="I897" s="8" t="s">
        <v>348</v>
      </c>
      <c r="J897" s="8" t="s">
        <v>1350</v>
      </c>
      <c r="K897" s="6" t="s">
        <v>3478</v>
      </c>
      <c r="L897" s="7" t="s">
        <v>22</v>
      </c>
      <c r="M897" s="6" t="s">
        <v>331</v>
      </c>
      <c r="N897" s="8" t="s">
        <v>3479</v>
      </c>
      <c r="O897" s="6">
        <f>HYPERLINK("https://docs.wto.org/imrd/directdoc.asp?DDFDocuments/t/G/SPS/NRUS298.DOCX", "https://docs.wto.org/imrd/directdoc.asp?DDFDocuments/t/G/SPS/NRUS298.DOCX")</f>
      </c>
      <c r="P897" s="6">
        <f>HYPERLINK("https://docs.wto.org/imrd/directdoc.asp?DDFDocuments/u/G/SPS/NRUS298.DOCX", "https://docs.wto.org/imrd/directdoc.asp?DDFDocuments/u/G/SPS/NRUS298.DOCX")</f>
      </c>
      <c r="Q897" s="6">
        <f>HYPERLINK("https://docs.wto.org/imrd/directdoc.asp?DDFDocuments/v/G/SPS/NRUS298.DOCX", "https://docs.wto.org/imrd/directdoc.asp?DDFDocuments/v/G/SPS/NRUS298.DOCX")</f>
      </c>
    </row>
    <row r="898">
      <c r="A898" s="6" t="s">
        <v>472</v>
      </c>
      <c r="B898" s="7">
        <v>45601</v>
      </c>
      <c r="C898" s="9">
        <f>HYPERLINK("https://eping.wto.org/en/Search?viewData= G/SPS/N/JPN/1307"," G/SPS/N/JPN/1307")</f>
      </c>
      <c r="D898" s="8" t="s">
        <v>3480</v>
      </c>
      <c r="E898" s="8" t="s">
        <v>3481</v>
      </c>
      <c r="F898" s="8" t="s">
        <v>3482</v>
      </c>
      <c r="G898" s="8" t="s">
        <v>22</v>
      </c>
      <c r="H898" s="8" t="s">
        <v>22</v>
      </c>
      <c r="I898" s="8" t="s">
        <v>120</v>
      </c>
      <c r="J898" s="8" t="s">
        <v>416</v>
      </c>
      <c r="K898" s="6" t="s">
        <v>22</v>
      </c>
      <c r="L898" s="7">
        <v>45661</v>
      </c>
      <c r="M898" s="6" t="s">
        <v>32</v>
      </c>
      <c r="N898" s="8" t="s">
        <v>3483</v>
      </c>
      <c r="O898" s="6">
        <f>HYPERLINK("https://docs.wto.org/imrd/directdoc.asp?DDFDocuments/t/G/SPS/NJPN1307.DOCX", "https://docs.wto.org/imrd/directdoc.asp?DDFDocuments/t/G/SPS/NJPN1307.DOCX")</f>
      </c>
      <c r="P898" s="6">
        <f>HYPERLINK("https://docs.wto.org/imrd/directdoc.asp?DDFDocuments/u/G/SPS/NJPN1307.DOCX", "https://docs.wto.org/imrd/directdoc.asp?DDFDocuments/u/G/SPS/NJPN1307.DOCX")</f>
      </c>
      <c r="Q898" s="6">
        <f>HYPERLINK("https://docs.wto.org/imrd/directdoc.asp?DDFDocuments/v/G/SPS/NJPN1307.DOCX", "https://docs.wto.org/imrd/directdoc.asp?DDFDocuments/v/G/SPS/NJPN1307.DOCX")</f>
      </c>
    </row>
    <row r="899">
      <c r="A899" s="6" t="s">
        <v>104</v>
      </c>
      <c r="B899" s="7">
        <v>45600</v>
      </c>
      <c r="C899" s="9">
        <f>HYPERLINK("https://eping.wto.org/en/Search?viewData= G/TBT/N/CHN/1940"," G/TBT/N/CHN/1940")</f>
      </c>
      <c r="D899" s="8" t="s">
        <v>3484</v>
      </c>
      <c r="E899" s="8" t="s">
        <v>3485</v>
      </c>
      <c r="F899" s="8" t="s">
        <v>3486</v>
      </c>
      <c r="G899" s="8" t="s">
        <v>675</v>
      </c>
      <c r="H899" s="8" t="s">
        <v>556</v>
      </c>
      <c r="I899" s="8" t="s">
        <v>3487</v>
      </c>
      <c r="J899" s="8" t="s">
        <v>1498</v>
      </c>
      <c r="K899" s="6"/>
      <c r="L899" s="7">
        <v>45660</v>
      </c>
      <c r="M899" s="6" t="s">
        <v>32</v>
      </c>
      <c r="N899" s="8" t="s">
        <v>3488</v>
      </c>
      <c r="O899" s="6">
        <f>HYPERLINK("https://docs.wto.org/imrd/directdoc.asp?DDFDocuments/t/G/TBTN24/CHN1940.DOCX", "https://docs.wto.org/imrd/directdoc.asp?DDFDocuments/t/G/TBTN24/CHN1940.DOCX")</f>
      </c>
      <c r="P899" s="6">
        <f>HYPERLINK("https://docs.wto.org/imrd/directdoc.asp?DDFDocuments/u/G/TBTN24/CHN1940.DOCX", "https://docs.wto.org/imrd/directdoc.asp?DDFDocuments/u/G/TBTN24/CHN1940.DOCX")</f>
      </c>
      <c r="Q899" s="6">
        <f>HYPERLINK("https://docs.wto.org/imrd/directdoc.asp?DDFDocuments/v/G/TBTN24/CHN1940.DOCX", "https://docs.wto.org/imrd/directdoc.asp?DDFDocuments/v/G/TBTN24/CHN1940.DOCX")</f>
      </c>
    </row>
    <row r="900">
      <c r="A900" s="6" t="s">
        <v>104</v>
      </c>
      <c r="B900" s="7">
        <v>45600</v>
      </c>
      <c r="C900" s="9">
        <f>HYPERLINK("https://eping.wto.org/en/Search?viewData= G/TBT/N/CHN/1938"," G/TBT/N/CHN/1938")</f>
      </c>
      <c r="D900" s="8" t="s">
        <v>3489</v>
      </c>
      <c r="E900" s="8" t="s">
        <v>3490</v>
      </c>
      <c r="F900" s="8" t="s">
        <v>3491</v>
      </c>
      <c r="G900" s="8" t="s">
        <v>3492</v>
      </c>
      <c r="H900" s="8" t="s">
        <v>2486</v>
      </c>
      <c r="I900" s="8" t="s">
        <v>2475</v>
      </c>
      <c r="J900" s="8" t="s">
        <v>22</v>
      </c>
      <c r="K900" s="6"/>
      <c r="L900" s="7">
        <v>45660</v>
      </c>
      <c r="M900" s="6" t="s">
        <v>32</v>
      </c>
      <c r="N900" s="8" t="s">
        <v>3493</v>
      </c>
      <c r="O900" s="6">
        <f>HYPERLINK("https://docs.wto.org/imrd/directdoc.asp?DDFDocuments/t/G/TBTN24/CHN1938.DOCX", "https://docs.wto.org/imrd/directdoc.asp?DDFDocuments/t/G/TBTN24/CHN1938.DOCX")</f>
      </c>
      <c r="P900" s="6">
        <f>HYPERLINK("https://docs.wto.org/imrd/directdoc.asp?DDFDocuments/u/G/TBTN24/CHN1938.DOCX", "https://docs.wto.org/imrd/directdoc.asp?DDFDocuments/u/G/TBTN24/CHN1938.DOCX")</f>
      </c>
      <c r="Q900" s="6">
        <f>HYPERLINK("https://docs.wto.org/imrd/directdoc.asp?DDFDocuments/v/G/TBTN24/CHN1938.DOCX", "https://docs.wto.org/imrd/directdoc.asp?DDFDocuments/v/G/TBTN24/CHN1938.DOCX")</f>
      </c>
    </row>
    <row r="901">
      <c r="A901" s="6" t="s">
        <v>104</v>
      </c>
      <c r="B901" s="7">
        <v>45600</v>
      </c>
      <c r="C901" s="9">
        <f>HYPERLINK("https://eping.wto.org/en/Search?viewData= G/TBT/N/CHN/1942"," G/TBT/N/CHN/1942")</f>
      </c>
      <c r="D901" s="8" t="s">
        <v>3494</v>
      </c>
      <c r="E901" s="8" t="s">
        <v>3495</v>
      </c>
      <c r="F901" s="8" t="s">
        <v>3496</v>
      </c>
      <c r="G901" s="8" t="s">
        <v>3497</v>
      </c>
      <c r="H901" s="8" t="s">
        <v>556</v>
      </c>
      <c r="I901" s="8" t="s">
        <v>3498</v>
      </c>
      <c r="J901" s="8" t="s">
        <v>1498</v>
      </c>
      <c r="K901" s="6"/>
      <c r="L901" s="7">
        <v>45660</v>
      </c>
      <c r="M901" s="6" t="s">
        <v>32</v>
      </c>
      <c r="N901" s="8" t="s">
        <v>3499</v>
      </c>
      <c r="O901" s="6">
        <f>HYPERLINK("https://docs.wto.org/imrd/directdoc.asp?DDFDocuments/t/G/TBTN24/CHN1942.DOCX", "https://docs.wto.org/imrd/directdoc.asp?DDFDocuments/t/G/TBTN24/CHN1942.DOCX")</f>
      </c>
      <c r="P901" s="6">
        <f>HYPERLINK("https://docs.wto.org/imrd/directdoc.asp?DDFDocuments/u/G/TBTN24/CHN1942.DOCX", "https://docs.wto.org/imrd/directdoc.asp?DDFDocuments/u/G/TBTN24/CHN1942.DOCX")</f>
      </c>
      <c r="Q901" s="6">
        <f>HYPERLINK("https://docs.wto.org/imrd/directdoc.asp?DDFDocuments/v/G/TBTN24/CHN1942.DOCX", "https://docs.wto.org/imrd/directdoc.asp?DDFDocuments/v/G/TBTN24/CHN1942.DOCX")</f>
      </c>
    </row>
    <row r="902">
      <c r="A902" s="6" t="s">
        <v>49</v>
      </c>
      <c r="B902" s="7">
        <v>45600</v>
      </c>
      <c r="C902" s="9">
        <f>HYPERLINK("https://eping.wto.org/en/Search?viewData= G/SPS/N/TZA/388"," G/SPS/N/TZA/388")</f>
      </c>
      <c r="D902" s="8" t="s">
        <v>3500</v>
      </c>
      <c r="E902" s="8" t="s">
        <v>3501</v>
      </c>
      <c r="F902" s="8" t="s">
        <v>2077</v>
      </c>
      <c r="G902" s="8" t="s">
        <v>253</v>
      </c>
      <c r="H902" s="8" t="s">
        <v>2363</v>
      </c>
      <c r="I902" s="8" t="s">
        <v>120</v>
      </c>
      <c r="J902" s="8" t="s">
        <v>416</v>
      </c>
      <c r="K902" s="6" t="s">
        <v>22</v>
      </c>
      <c r="L902" s="7">
        <v>45660</v>
      </c>
      <c r="M902" s="6" t="s">
        <v>32</v>
      </c>
      <c r="N902" s="8" t="s">
        <v>3502</v>
      </c>
      <c r="O902" s="6">
        <f>HYPERLINK("https://docs.wto.org/imrd/directdoc.asp?DDFDocuments/t/G/SPS/NTZA388.DOCX", "https://docs.wto.org/imrd/directdoc.asp?DDFDocuments/t/G/SPS/NTZA388.DOCX")</f>
      </c>
      <c r="P902" s="6">
        <f>HYPERLINK("https://docs.wto.org/imrd/directdoc.asp?DDFDocuments/u/G/SPS/NTZA388.DOCX", "https://docs.wto.org/imrd/directdoc.asp?DDFDocuments/u/G/SPS/NTZA388.DOCX")</f>
      </c>
      <c r="Q902" s="6">
        <f>HYPERLINK("https://docs.wto.org/imrd/directdoc.asp?DDFDocuments/v/G/SPS/NTZA388.DOCX", "https://docs.wto.org/imrd/directdoc.asp?DDFDocuments/v/G/SPS/NTZA388.DOCX")</f>
      </c>
    </row>
    <row r="903">
      <c r="A903" s="6" t="s">
        <v>82</v>
      </c>
      <c r="B903" s="7">
        <v>45600</v>
      </c>
      <c r="C903" s="9">
        <f>HYPERLINK("https://eping.wto.org/en/Search?viewData= G/TBT/N/BRA/1562/Add.1"," G/TBT/N/BRA/1562/Add.1")</f>
      </c>
      <c r="D903" s="8" t="s">
        <v>3503</v>
      </c>
      <c r="E903" s="8" t="s">
        <v>3504</v>
      </c>
      <c r="F903" s="8" t="s">
        <v>3505</v>
      </c>
      <c r="G903" s="8" t="s">
        <v>3506</v>
      </c>
      <c r="H903" s="8" t="s">
        <v>741</v>
      </c>
      <c r="I903" s="8" t="s">
        <v>39</v>
      </c>
      <c r="J903" s="8" t="s">
        <v>266</v>
      </c>
      <c r="K903" s="6"/>
      <c r="L903" s="7" t="s">
        <v>22</v>
      </c>
      <c r="M903" s="6" t="s">
        <v>40</v>
      </c>
      <c r="N903" s="6"/>
      <c r="O903" s="6">
        <f>HYPERLINK("https://docs.wto.org/imrd/directdoc.asp?DDFDocuments/t/G/TBTN24/BRA1562A1.DOCX", "https://docs.wto.org/imrd/directdoc.asp?DDFDocuments/t/G/TBTN24/BRA1562A1.DOCX")</f>
      </c>
      <c r="P903" s="6">
        <f>HYPERLINK("https://docs.wto.org/imrd/directdoc.asp?DDFDocuments/u/G/TBTN24/BRA1562A1.DOCX", "https://docs.wto.org/imrd/directdoc.asp?DDFDocuments/u/G/TBTN24/BRA1562A1.DOCX")</f>
      </c>
      <c r="Q903" s="6">
        <f>HYPERLINK("https://docs.wto.org/imrd/directdoc.asp?DDFDocuments/v/G/TBTN24/BRA1562A1.DOCX", "https://docs.wto.org/imrd/directdoc.asp?DDFDocuments/v/G/TBTN24/BRA1562A1.DOCX")</f>
      </c>
    </row>
    <row r="904">
      <c r="A904" s="6" t="s">
        <v>400</v>
      </c>
      <c r="B904" s="7">
        <v>45600</v>
      </c>
      <c r="C904" s="9">
        <f>HYPERLINK("https://eping.wto.org/en/Search?viewData= G/TBT/N/USA/1958/Add.4"," G/TBT/N/USA/1958/Add.4")</f>
      </c>
      <c r="D904" s="8" t="s">
        <v>1416</v>
      </c>
      <c r="E904" s="8" t="s">
        <v>3507</v>
      </c>
      <c r="F904" s="8" t="s">
        <v>1418</v>
      </c>
      <c r="G904" s="8" t="s">
        <v>22</v>
      </c>
      <c r="H904" s="8" t="s">
        <v>1419</v>
      </c>
      <c r="I904" s="8" t="s">
        <v>511</v>
      </c>
      <c r="J904" s="8" t="s">
        <v>22</v>
      </c>
      <c r="K904" s="6"/>
      <c r="L904" s="7">
        <v>45642</v>
      </c>
      <c r="M904" s="6" t="s">
        <v>40</v>
      </c>
      <c r="N904" s="8" t="s">
        <v>3508</v>
      </c>
      <c r="O904" s="6">
        <f>HYPERLINK("https://docs.wto.org/imrd/directdoc.asp?DDFDocuments/t/G/TBTN23/USA1958A4.DOCX", "https://docs.wto.org/imrd/directdoc.asp?DDFDocuments/t/G/TBTN23/USA1958A4.DOCX")</f>
      </c>
      <c r="P904" s="6">
        <f>HYPERLINK("https://docs.wto.org/imrd/directdoc.asp?DDFDocuments/u/G/TBTN23/USA1958A4.DOCX", "https://docs.wto.org/imrd/directdoc.asp?DDFDocuments/u/G/TBTN23/USA1958A4.DOCX")</f>
      </c>
      <c r="Q904" s="6">
        <f>HYPERLINK("https://docs.wto.org/imrd/directdoc.asp?DDFDocuments/v/G/TBTN23/USA1958A4.DOCX", "https://docs.wto.org/imrd/directdoc.asp?DDFDocuments/v/G/TBTN23/USA1958A4.DOCX")</f>
      </c>
    </row>
    <row r="905">
      <c r="A905" s="6" t="s">
        <v>104</v>
      </c>
      <c r="B905" s="7">
        <v>45600</v>
      </c>
      <c r="C905" s="9">
        <f>HYPERLINK("https://eping.wto.org/en/Search?viewData= G/TBT/N/CHN/1941"," G/TBT/N/CHN/1941")</f>
      </c>
      <c r="D905" s="8" t="s">
        <v>3509</v>
      </c>
      <c r="E905" s="8" t="s">
        <v>3510</v>
      </c>
      <c r="F905" s="8" t="s">
        <v>3511</v>
      </c>
      <c r="G905" s="8" t="s">
        <v>675</v>
      </c>
      <c r="H905" s="8" t="s">
        <v>556</v>
      </c>
      <c r="I905" s="8" t="s">
        <v>3512</v>
      </c>
      <c r="J905" s="8" t="s">
        <v>1498</v>
      </c>
      <c r="K905" s="6"/>
      <c r="L905" s="7">
        <v>45660</v>
      </c>
      <c r="M905" s="6" t="s">
        <v>32</v>
      </c>
      <c r="N905" s="8" t="s">
        <v>3513</v>
      </c>
      <c r="O905" s="6">
        <f>HYPERLINK("https://docs.wto.org/imrd/directdoc.asp?DDFDocuments/t/G/TBTN24/CHN1941.DOCX", "https://docs.wto.org/imrd/directdoc.asp?DDFDocuments/t/G/TBTN24/CHN1941.DOCX")</f>
      </c>
      <c r="P905" s="6">
        <f>HYPERLINK("https://docs.wto.org/imrd/directdoc.asp?DDFDocuments/u/G/TBTN24/CHN1941.DOCX", "https://docs.wto.org/imrd/directdoc.asp?DDFDocuments/u/G/TBTN24/CHN1941.DOCX")</f>
      </c>
      <c r="Q905" s="6">
        <f>HYPERLINK("https://docs.wto.org/imrd/directdoc.asp?DDFDocuments/v/G/TBTN24/CHN1941.DOCX", "https://docs.wto.org/imrd/directdoc.asp?DDFDocuments/v/G/TBTN24/CHN1941.DOCX")</f>
      </c>
    </row>
    <row r="906">
      <c r="A906" s="6" t="s">
        <v>104</v>
      </c>
      <c r="B906" s="7">
        <v>45600</v>
      </c>
      <c r="C906" s="9">
        <f>HYPERLINK("https://eping.wto.org/en/Search?viewData= G/TBT/N/CHN/1939"," G/TBT/N/CHN/1939")</f>
      </c>
      <c r="D906" s="8" t="s">
        <v>3514</v>
      </c>
      <c r="E906" s="8" t="s">
        <v>3515</v>
      </c>
      <c r="F906" s="8" t="s">
        <v>3516</v>
      </c>
      <c r="G906" s="8" t="s">
        <v>3517</v>
      </c>
      <c r="H906" s="8" t="s">
        <v>3518</v>
      </c>
      <c r="I906" s="8" t="s">
        <v>39</v>
      </c>
      <c r="J906" s="8" t="s">
        <v>22</v>
      </c>
      <c r="K906" s="6"/>
      <c r="L906" s="7">
        <v>45660</v>
      </c>
      <c r="M906" s="6" t="s">
        <v>32</v>
      </c>
      <c r="N906" s="8" t="s">
        <v>3519</v>
      </c>
      <c r="O906" s="6">
        <f>HYPERLINK("https://docs.wto.org/imrd/directdoc.asp?DDFDocuments/t/G/TBTN24/CHN1939.DOCX", "https://docs.wto.org/imrd/directdoc.asp?DDFDocuments/t/G/TBTN24/CHN1939.DOCX")</f>
      </c>
      <c r="P906" s="6">
        <f>HYPERLINK("https://docs.wto.org/imrd/directdoc.asp?DDFDocuments/u/G/TBTN24/CHN1939.DOCX", "https://docs.wto.org/imrd/directdoc.asp?DDFDocuments/u/G/TBTN24/CHN1939.DOCX")</f>
      </c>
      <c r="Q906" s="6">
        <f>HYPERLINK("https://docs.wto.org/imrd/directdoc.asp?DDFDocuments/v/G/TBTN24/CHN1939.DOCX", "https://docs.wto.org/imrd/directdoc.asp?DDFDocuments/v/G/TBTN24/CHN1939.DOCX")</f>
      </c>
    </row>
    <row r="907">
      <c r="A907" s="6" t="s">
        <v>104</v>
      </c>
      <c r="B907" s="7">
        <v>45600</v>
      </c>
      <c r="C907" s="9">
        <f>HYPERLINK("https://eping.wto.org/en/Search?viewData= G/TBT/N/CHN/1943"," G/TBT/N/CHN/1943")</f>
      </c>
      <c r="D907" s="8" t="s">
        <v>3520</v>
      </c>
      <c r="E907" s="8" t="s">
        <v>3521</v>
      </c>
      <c r="F907" s="8" t="s">
        <v>3522</v>
      </c>
      <c r="G907" s="8" t="s">
        <v>3523</v>
      </c>
      <c r="H907" s="8" t="s">
        <v>893</v>
      </c>
      <c r="I907" s="8" t="s">
        <v>823</v>
      </c>
      <c r="J907" s="8" t="s">
        <v>58</v>
      </c>
      <c r="K907" s="6"/>
      <c r="L907" s="7" t="s">
        <v>22</v>
      </c>
      <c r="M907" s="6" t="s">
        <v>32</v>
      </c>
      <c r="N907" s="8" t="s">
        <v>3524</v>
      </c>
      <c r="O907" s="6">
        <f>HYPERLINK("https://docs.wto.org/imrd/directdoc.asp?DDFDocuments/t/G/TBTN24/CHN1943.DOCX", "https://docs.wto.org/imrd/directdoc.asp?DDFDocuments/t/G/TBTN24/CHN1943.DOCX")</f>
      </c>
      <c r="P907" s="6">
        <f>HYPERLINK("https://docs.wto.org/imrd/directdoc.asp?DDFDocuments/u/G/TBTN24/CHN1943.DOCX", "https://docs.wto.org/imrd/directdoc.asp?DDFDocuments/u/G/TBTN24/CHN1943.DOCX")</f>
      </c>
      <c r="Q907" s="6">
        <f>HYPERLINK("https://docs.wto.org/imrd/directdoc.asp?DDFDocuments/v/G/TBTN24/CHN1943.DOCX", "https://docs.wto.org/imrd/directdoc.asp?DDFDocuments/v/G/TBTN24/CHN1943.DOCX")</f>
      </c>
    </row>
    <row r="908">
      <c r="A908" s="6" t="s">
        <v>104</v>
      </c>
      <c r="B908" s="7">
        <v>45600</v>
      </c>
      <c r="C908" s="9">
        <f>HYPERLINK("https://eping.wto.org/en/Search?viewData= G/TBT/N/CHN/1936"," G/TBT/N/CHN/1936")</f>
      </c>
      <c r="D908" s="8" t="s">
        <v>3525</v>
      </c>
      <c r="E908" s="8" t="s">
        <v>3526</v>
      </c>
      <c r="F908" s="8" t="s">
        <v>3527</v>
      </c>
      <c r="G908" s="8" t="s">
        <v>3528</v>
      </c>
      <c r="H908" s="8" t="s">
        <v>3529</v>
      </c>
      <c r="I908" s="8" t="s">
        <v>203</v>
      </c>
      <c r="J908" s="8" t="s">
        <v>22</v>
      </c>
      <c r="K908" s="6"/>
      <c r="L908" s="7">
        <v>45660</v>
      </c>
      <c r="M908" s="6" t="s">
        <v>32</v>
      </c>
      <c r="N908" s="8" t="s">
        <v>3530</v>
      </c>
      <c r="O908" s="6">
        <f>HYPERLINK("https://docs.wto.org/imrd/directdoc.asp?DDFDocuments/t/G/TBTN24/CHN1936.DOCX", "https://docs.wto.org/imrd/directdoc.asp?DDFDocuments/t/G/TBTN24/CHN1936.DOCX")</f>
      </c>
      <c r="P908" s="6">
        <f>HYPERLINK("https://docs.wto.org/imrd/directdoc.asp?DDFDocuments/u/G/TBTN24/CHN1936.DOCX", "https://docs.wto.org/imrd/directdoc.asp?DDFDocuments/u/G/TBTN24/CHN1936.DOCX")</f>
      </c>
      <c r="Q908" s="6">
        <f>HYPERLINK("https://docs.wto.org/imrd/directdoc.asp?DDFDocuments/v/G/TBTN24/CHN1936.DOCX", "https://docs.wto.org/imrd/directdoc.asp?DDFDocuments/v/G/TBTN24/CHN1936.DOCX")</f>
      </c>
    </row>
    <row r="909">
      <c r="A909" s="6" t="s">
        <v>49</v>
      </c>
      <c r="B909" s="7">
        <v>45600</v>
      </c>
      <c r="C909" s="9">
        <f>HYPERLINK("https://eping.wto.org/en/Search?viewData= G/SPS/N/TZA/389"," G/SPS/N/TZA/389")</f>
      </c>
      <c r="D909" s="8" t="s">
        <v>3531</v>
      </c>
      <c r="E909" s="8" t="s">
        <v>3532</v>
      </c>
      <c r="F909" s="8" t="s">
        <v>3441</v>
      </c>
      <c r="G909" s="8" t="s">
        <v>3442</v>
      </c>
      <c r="H909" s="8" t="s">
        <v>866</v>
      </c>
      <c r="I909" s="8" t="s">
        <v>120</v>
      </c>
      <c r="J909" s="8" t="s">
        <v>416</v>
      </c>
      <c r="K909" s="6" t="s">
        <v>22</v>
      </c>
      <c r="L909" s="7">
        <v>45660</v>
      </c>
      <c r="M909" s="6" t="s">
        <v>32</v>
      </c>
      <c r="N909" s="8" t="s">
        <v>3533</v>
      </c>
      <c r="O909" s="6">
        <f>HYPERLINK("https://docs.wto.org/imrd/directdoc.asp?DDFDocuments/t/G/SPS/NTZA389.DOCX", "https://docs.wto.org/imrd/directdoc.asp?DDFDocuments/t/G/SPS/NTZA389.DOCX")</f>
      </c>
      <c r="P909" s="6">
        <f>HYPERLINK("https://docs.wto.org/imrd/directdoc.asp?DDFDocuments/u/G/SPS/NTZA389.DOCX", "https://docs.wto.org/imrd/directdoc.asp?DDFDocuments/u/G/SPS/NTZA389.DOCX")</f>
      </c>
      <c r="Q909" s="6">
        <f>HYPERLINK("https://docs.wto.org/imrd/directdoc.asp?DDFDocuments/v/G/SPS/NTZA389.DOCX", "https://docs.wto.org/imrd/directdoc.asp?DDFDocuments/v/G/SPS/NTZA389.DOCX")</f>
      </c>
    </row>
    <row r="910">
      <c r="A910" s="6" t="s">
        <v>1443</v>
      </c>
      <c r="B910" s="7">
        <v>45600</v>
      </c>
      <c r="C910" s="9">
        <f>HYPERLINK("https://eping.wto.org/en/Search?viewData= G/TBT/N/IDN/169"," G/TBT/N/IDN/169")</f>
      </c>
      <c r="D910" s="8" t="s">
        <v>3534</v>
      </c>
      <c r="E910" s="8" t="s">
        <v>3535</v>
      </c>
      <c r="F910" s="8" t="s">
        <v>3536</v>
      </c>
      <c r="G910" s="8" t="s">
        <v>22</v>
      </c>
      <c r="H910" s="8" t="s">
        <v>115</v>
      </c>
      <c r="I910" s="8" t="s">
        <v>760</v>
      </c>
      <c r="J910" s="8" t="s">
        <v>58</v>
      </c>
      <c r="K910" s="6"/>
      <c r="L910" s="7">
        <v>45660</v>
      </c>
      <c r="M910" s="6" t="s">
        <v>32</v>
      </c>
      <c r="N910" s="8" t="s">
        <v>3537</v>
      </c>
      <c r="O910" s="6">
        <f>HYPERLINK("https://docs.wto.org/imrd/directdoc.asp?DDFDocuments/t/G/TBTN24/IDN169.DOCX", "https://docs.wto.org/imrd/directdoc.asp?DDFDocuments/t/G/TBTN24/IDN169.DOCX")</f>
      </c>
      <c r="P910" s="6">
        <f>HYPERLINK("https://docs.wto.org/imrd/directdoc.asp?DDFDocuments/u/G/TBTN24/IDN169.DOCX", "https://docs.wto.org/imrd/directdoc.asp?DDFDocuments/u/G/TBTN24/IDN169.DOCX")</f>
      </c>
      <c r="Q910" s="6">
        <f>HYPERLINK("https://docs.wto.org/imrd/directdoc.asp?DDFDocuments/v/G/TBTN24/IDN169.DOCX", "https://docs.wto.org/imrd/directdoc.asp?DDFDocuments/v/G/TBTN24/IDN169.DOCX")</f>
      </c>
    </row>
    <row r="911">
      <c r="A911" s="6" t="s">
        <v>49</v>
      </c>
      <c r="B911" s="7">
        <v>45600</v>
      </c>
      <c r="C911" s="9">
        <f>HYPERLINK("https://eping.wto.org/en/Search?viewData= G/SPS/N/TZA/391"," G/SPS/N/TZA/391")</f>
      </c>
      <c r="D911" s="8" t="s">
        <v>3538</v>
      </c>
      <c r="E911" s="8" t="s">
        <v>3539</v>
      </c>
      <c r="F911" s="8" t="s">
        <v>3540</v>
      </c>
      <c r="G911" s="8" t="s">
        <v>3378</v>
      </c>
      <c r="H911" s="8" t="s">
        <v>3541</v>
      </c>
      <c r="I911" s="8" t="s">
        <v>120</v>
      </c>
      <c r="J911" s="8" t="s">
        <v>416</v>
      </c>
      <c r="K911" s="6" t="s">
        <v>22</v>
      </c>
      <c r="L911" s="7">
        <v>45660</v>
      </c>
      <c r="M911" s="6" t="s">
        <v>32</v>
      </c>
      <c r="N911" s="8" t="s">
        <v>3542</v>
      </c>
      <c r="O911" s="6">
        <f>HYPERLINK("https://docs.wto.org/imrd/directdoc.asp?DDFDocuments/t/G/SPS/NTZA391.DOCX", "https://docs.wto.org/imrd/directdoc.asp?DDFDocuments/t/G/SPS/NTZA391.DOCX")</f>
      </c>
      <c r="P911" s="6">
        <f>HYPERLINK("https://docs.wto.org/imrd/directdoc.asp?DDFDocuments/u/G/SPS/NTZA391.DOCX", "https://docs.wto.org/imrd/directdoc.asp?DDFDocuments/u/G/SPS/NTZA391.DOCX")</f>
      </c>
      <c r="Q911" s="6">
        <f>HYPERLINK("https://docs.wto.org/imrd/directdoc.asp?DDFDocuments/v/G/SPS/NTZA391.DOCX", "https://docs.wto.org/imrd/directdoc.asp?DDFDocuments/v/G/SPS/NTZA391.DOCX")</f>
      </c>
    </row>
    <row r="912">
      <c r="A912" s="6" t="s">
        <v>82</v>
      </c>
      <c r="B912" s="7">
        <v>45600</v>
      </c>
      <c r="C912" s="9">
        <f>HYPERLINK("https://eping.wto.org/en/Search?viewData= G/TBT/N/BRA/1563/Add.1"," G/TBT/N/BRA/1563/Add.1")</f>
      </c>
      <c r="D912" s="8" t="s">
        <v>3543</v>
      </c>
      <c r="E912" s="8" t="s">
        <v>3544</v>
      </c>
      <c r="F912" s="8" t="s">
        <v>3545</v>
      </c>
      <c r="G912" s="8" t="s">
        <v>3506</v>
      </c>
      <c r="H912" s="8" t="s">
        <v>741</v>
      </c>
      <c r="I912" s="8" t="s">
        <v>39</v>
      </c>
      <c r="J912" s="8" t="s">
        <v>266</v>
      </c>
      <c r="K912" s="6"/>
      <c r="L912" s="7" t="s">
        <v>22</v>
      </c>
      <c r="M912" s="6" t="s">
        <v>40</v>
      </c>
      <c r="N912" s="6"/>
      <c r="O912" s="6">
        <f>HYPERLINK("https://docs.wto.org/imrd/directdoc.asp?DDFDocuments/t/G/TBTN24/BRA1563A1.DOCX", "https://docs.wto.org/imrd/directdoc.asp?DDFDocuments/t/G/TBTN24/BRA1563A1.DOCX")</f>
      </c>
      <c r="P912" s="6">
        <f>HYPERLINK("https://docs.wto.org/imrd/directdoc.asp?DDFDocuments/u/G/TBTN24/BRA1563A1.DOCX", "https://docs.wto.org/imrd/directdoc.asp?DDFDocuments/u/G/TBTN24/BRA1563A1.DOCX")</f>
      </c>
      <c r="Q912" s="6">
        <f>HYPERLINK("https://docs.wto.org/imrd/directdoc.asp?DDFDocuments/v/G/TBTN24/BRA1563A1.DOCX", "https://docs.wto.org/imrd/directdoc.asp?DDFDocuments/v/G/TBTN24/BRA1563A1.DOCX")</f>
      </c>
    </row>
    <row r="913">
      <c r="A913" s="6" t="s">
        <v>49</v>
      </c>
      <c r="B913" s="7">
        <v>45600</v>
      </c>
      <c r="C913" s="9">
        <f>HYPERLINK("https://eping.wto.org/en/Search?viewData= G/SPS/N/TZA/390"," G/SPS/N/TZA/390")</f>
      </c>
      <c r="D913" s="8" t="s">
        <v>3546</v>
      </c>
      <c r="E913" s="8" t="s">
        <v>3547</v>
      </c>
      <c r="F913" s="8" t="s">
        <v>3548</v>
      </c>
      <c r="G913" s="8" t="s">
        <v>3452</v>
      </c>
      <c r="H913" s="8" t="s">
        <v>866</v>
      </c>
      <c r="I913" s="8" t="s">
        <v>120</v>
      </c>
      <c r="J913" s="8" t="s">
        <v>255</v>
      </c>
      <c r="K913" s="6" t="s">
        <v>22</v>
      </c>
      <c r="L913" s="7">
        <v>45660</v>
      </c>
      <c r="M913" s="6" t="s">
        <v>32</v>
      </c>
      <c r="N913" s="8" t="s">
        <v>3549</v>
      </c>
      <c r="O913" s="6">
        <f>HYPERLINK("https://docs.wto.org/imrd/directdoc.asp?DDFDocuments/t/G/SPS/NTZA390.DOCX", "https://docs.wto.org/imrd/directdoc.asp?DDFDocuments/t/G/SPS/NTZA390.DOCX")</f>
      </c>
      <c r="P913" s="6">
        <f>HYPERLINK("https://docs.wto.org/imrd/directdoc.asp?DDFDocuments/u/G/SPS/NTZA390.DOCX", "https://docs.wto.org/imrd/directdoc.asp?DDFDocuments/u/G/SPS/NTZA390.DOCX")</f>
      </c>
      <c r="Q913" s="6">
        <f>HYPERLINK("https://docs.wto.org/imrd/directdoc.asp?DDFDocuments/v/G/SPS/NTZA390.DOCX", "https://docs.wto.org/imrd/directdoc.asp?DDFDocuments/v/G/SPS/NTZA390.DOCX")</f>
      </c>
    </row>
    <row r="914">
      <c r="A914" s="6" t="s">
        <v>82</v>
      </c>
      <c r="B914" s="7">
        <v>45600</v>
      </c>
      <c r="C914" s="9">
        <f>HYPERLINK("https://eping.wto.org/en/Search?viewData= G/SPS/N/BRA/2355"," G/SPS/N/BRA/2355")</f>
      </c>
      <c r="D914" s="8" t="s">
        <v>3550</v>
      </c>
      <c r="E914" s="8" t="s">
        <v>3551</v>
      </c>
      <c r="F914" s="8" t="s">
        <v>212</v>
      </c>
      <c r="G914" s="8" t="s">
        <v>22</v>
      </c>
      <c r="H914" s="8" t="s">
        <v>1314</v>
      </c>
      <c r="I914" s="8" t="s">
        <v>120</v>
      </c>
      <c r="J914" s="8" t="s">
        <v>3552</v>
      </c>
      <c r="K914" s="6"/>
      <c r="L914" s="7">
        <v>45649</v>
      </c>
      <c r="M914" s="6" t="s">
        <v>32</v>
      </c>
      <c r="N914" s="8" t="s">
        <v>3553</v>
      </c>
      <c r="O914" s="6">
        <f>HYPERLINK("https://docs.wto.org/imrd/directdoc.asp?DDFDocuments/t/G/SPS/NBRA2355.DOCX", "https://docs.wto.org/imrd/directdoc.asp?DDFDocuments/t/G/SPS/NBRA2355.DOCX")</f>
      </c>
      <c r="P914" s="6">
        <f>HYPERLINK("https://docs.wto.org/imrd/directdoc.asp?DDFDocuments/u/G/SPS/NBRA2355.DOCX", "https://docs.wto.org/imrd/directdoc.asp?DDFDocuments/u/G/SPS/NBRA2355.DOCX")</f>
      </c>
      <c r="Q914" s="6">
        <f>HYPERLINK("https://docs.wto.org/imrd/directdoc.asp?DDFDocuments/v/G/SPS/NBRA2355.DOCX", "https://docs.wto.org/imrd/directdoc.asp?DDFDocuments/v/G/SPS/NBRA2355.DOCX")</f>
      </c>
    </row>
    <row r="915">
      <c r="A915" s="6" t="s">
        <v>104</v>
      </c>
      <c r="B915" s="7">
        <v>45600</v>
      </c>
      <c r="C915" s="9">
        <f>HYPERLINK("https://eping.wto.org/en/Search?viewData= G/TBT/N/CHN/1937"," G/TBT/N/CHN/1937")</f>
      </c>
      <c r="D915" s="8" t="s">
        <v>3554</v>
      </c>
      <c r="E915" s="8" t="s">
        <v>3555</v>
      </c>
      <c r="F915" s="8" t="s">
        <v>3556</v>
      </c>
      <c r="G915" s="8" t="s">
        <v>3557</v>
      </c>
      <c r="H915" s="8" t="s">
        <v>3558</v>
      </c>
      <c r="I915" s="8" t="s">
        <v>641</v>
      </c>
      <c r="J915" s="8" t="s">
        <v>22</v>
      </c>
      <c r="K915" s="6"/>
      <c r="L915" s="7">
        <v>45660</v>
      </c>
      <c r="M915" s="6" t="s">
        <v>32</v>
      </c>
      <c r="N915" s="8" t="s">
        <v>3559</v>
      </c>
      <c r="O915" s="6">
        <f>HYPERLINK("https://docs.wto.org/imrd/directdoc.asp?DDFDocuments/t/G/TBTN24/CHN1937.DOCX", "https://docs.wto.org/imrd/directdoc.asp?DDFDocuments/t/G/TBTN24/CHN1937.DOCX")</f>
      </c>
      <c r="P915" s="6">
        <f>HYPERLINK("https://docs.wto.org/imrd/directdoc.asp?DDFDocuments/u/G/TBTN24/CHN1937.DOCX", "https://docs.wto.org/imrd/directdoc.asp?DDFDocuments/u/G/TBTN24/CHN1937.DOCX")</f>
      </c>
      <c r="Q915" s="6">
        <f>HYPERLINK("https://docs.wto.org/imrd/directdoc.asp?DDFDocuments/v/G/TBTN24/CHN1937.DOCX", "https://docs.wto.org/imrd/directdoc.asp?DDFDocuments/v/G/TBTN24/CHN1937.DOCX")</f>
      </c>
    </row>
    <row r="916">
      <c r="A916" s="6" t="s">
        <v>49</v>
      </c>
      <c r="B916" s="7">
        <v>45597</v>
      </c>
      <c r="C916" s="9">
        <f>HYPERLINK("https://eping.wto.org/en/Search?viewData= G/SPS/N/TZA/385"," G/SPS/N/TZA/385")</f>
      </c>
      <c r="D916" s="8" t="s">
        <v>3560</v>
      </c>
      <c r="E916" s="8" t="s">
        <v>3561</v>
      </c>
      <c r="F916" s="8" t="s">
        <v>3562</v>
      </c>
      <c r="G916" s="8" t="s">
        <v>3563</v>
      </c>
      <c r="H916" s="8" t="s">
        <v>872</v>
      </c>
      <c r="I916" s="8" t="s">
        <v>120</v>
      </c>
      <c r="J916" s="8" t="s">
        <v>416</v>
      </c>
      <c r="K916" s="6" t="s">
        <v>22</v>
      </c>
      <c r="L916" s="7">
        <v>45657</v>
      </c>
      <c r="M916" s="6" t="s">
        <v>32</v>
      </c>
      <c r="N916" s="8" t="s">
        <v>3564</v>
      </c>
      <c r="O916" s="6">
        <f>HYPERLINK("https://docs.wto.org/imrd/directdoc.asp?DDFDocuments/t/G/SPS/NTZA385.DOCX", "https://docs.wto.org/imrd/directdoc.asp?DDFDocuments/t/G/SPS/NTZA385.DOCX")</f>
      </c>
      <c r="P916" s="6">
        <f>HYPERLINK("https://docs.wto.org/imrd/directdoc.asp?DDFDocuments/u/G/SPS/NTZA385.DOCX", "https://docs.wto.org/imrd/directdoc.asp?DDFDocuments/u/G/SPS/NTZA385.DOCX")</f>
      </c>
      <c r="Q916" s="6">
        <f>HYPERLINK("https://docs.wto.org/imrd/directdoc.asp?DDFDocuments/v/G/SPS/NTZA385.DOCX", "https://docs.wto.org/imrd/directdoc.asp?DDFDocuments/v/G/SPS/NTZA385.DOCX")</f>
      </c>
    </row>
    <row r="917">
      <c r="A917" s="6" t="s">
        <v>104</v>
      </c>
      <c r="B917" s="7">
        <v>45597</v>
      </c>
      <c r="C917" s="9">
        <f>HYPERLINK("https://eping.wto.org/en/Search?viewData= G/TBT/N/CHN/1935"," G/TBT/N/CHN/1935")</f>
      </c>
      <c r="D917" s="8" t="s">
        <v>3565</v>
      </c>
      <c r="E917" s="8" t="s">
        <v>3566</v>
      </c>
      <c r="F917" s="8" t="s">
        <v>3567</v>
      </c>
      <c r="G917" s="8" t="s">
        <v>3528</v>
      </c>
      <c r="H917" s="8" t="s">
        <v>3529</v>
      </c>
      <c r="I917" s="8" t="s">
        <v>2475</v>
      </c>
      <c r="J917" s="8" t="s">
        <v>22</v>
      </c>
      <c r="K917" s="6"/>
      <c r="L917" s="7">
        <v>45657</v>
      </c>
      <c r="M917" s="6" t="s">
        <v>32</v>
      </c>
      <c r="N917" s="8" t="s">
        <v>3568</v>
      </c>
      <c r="O917" s="6">
        <f>HYPERLINK("https://docs.wto.org/imrd/directdoc.asp?DDFDocuments/t/G/TBTN24/CHN1935.DOCX", "https://docs.wto.org/imrd/directdoc.asp?DDFDocuments/t/G/TBTN24/CHN1935.DOCX")</f>
      </c>
      <c r="P917" s="6">
        <f>HYPERLINK("https://docs.wto.org/imrd/directdoc.asp?DDFDocuments/u/G/TBTN24/CHN1935.DOCX", "https://docs.wto.org/imrd/directdoc.asp?DDFDocuments/u/G/TBTN24/CHN1935.DOCX")</f>
      </c>
      <c r="Q917" s="6">
        <f>HYPERLINK("https://docs.wto.org/imrd/directdoc.asp?DDFDocuments/v/G/TBTN24/CHN1935.DOCX", "https://docs.wto.org/imrd/directdoc.asp?DDFDocuments/v/G/TBTN24/CHN1935.DOCX")</f>
      </c>
    </row>
    <row r="918">
      <c r="A918" s="6" t="s">
        <v>49</v>
      </c>
      <c r="B918" s="7">
        <v>45597</v>
      </c>
      <c r="C918" s="9">
        <f>HYPERLINK("https://eping.wto.org/en/Search?viewData= G/SPS/N/TZA/387"," G/SPS/N/TZA/387")</f>
      </c>
      <c r="D918" s="8" t="s">
        <v>3569</v>
      </c>
      <c r="E918" s="8" t="s">
        <v>3570</v>
      </c>
      <c r="F918" s="8" t="s">
        <v>3571</v>
      </c>
      <c r="G918" s="8" t="s">
        <v>3427</v>
      </c>
      <c r="H918" s="8" t="s">
        <v>872</v>
      </c>
      <c r="I918" s="8" t="s">
        <v>120</v>
      </c>
      <c r="J918" s="8" t="s">
        <v>255</v>
      </c>
      <c r="K918" s="6" t="s">
        <v>22</v>
      </c>
      <c r="L918" s="7">
        <v>45657</v>
      </c>
      <c r="M918" s="6" t="s">
        <v>32</v>
      </c>
      <c r="N918" s="8" t="s">
        <v>3572</v>
      </c>
      <c r="O918" s="6">
        <f>HYPERLINK("https://docs.wto.org/imrd/directdoc.asp?DDFDocuments/t/G/SPS/NTZA387.DOCX", "https://docs.wto.org/imrd/directdoc.asp?DDFDocuments/t/G/SPS/NTZA387.DOCX")</f>
      </c>
      <c r="P918" s="6">
        <f>HYPERLINK("https://docs.wto.org/imrd/directdoc.asp?DDFDocuments/u/G/SPS/NTZA387.DOCX", "https://docs.wto.org/imrd/directdoc.asp?DDFDocuments/u/G/SPS/NTZA387.DOCX")</f>
      </c>
      <c r="Q918" s="6">
        <f>HYPERLINK("https://docs.wto.org/imrd/directdoc.asp?DDFDocuments/v/G/SPS/NTZA387.DOCX", "https://docs.wto.org/imrd/directdoc.asp?DDFDocuments/v/G/SPS/NTZA387.DOCX")</f>
      </c>
    </row>
    <row r="919">
      <c r="A919" s="6" t="s">
        <v>104</v>
      </c>
      <c r="B919" s="7">
        <v>45597</v>
      </c>
      <c r="C919" s="9">
        <f>HYPERLINK("https://eping.wto.org/en/Search?viewData= G/TBT/N/CHN/1934"," G/TBT/N/CHN/1934")</f>
      </c>
      <c r="D919" s="8" t="s">
        <v>3573</v>
      </c>
      <c r="E919" s="8" t="s">
        <v>3574</v>
      </c>
      <c r="F919" s="8" t="s">
        <v>3575</v>
      </c>
      <c r="G919" s="8" t="s">
        <v>3576</v>
      </c>
      <c r="H919" s="8" t="s">
        <v>3577</v>
      </c>
      <c r="I919" s="8" t="s">
        <v>39</v>
      </c>
      <c r="J919" s="8" t="s">
        <v>22</v>
      </c>
      <c r="K919" s="6"/>
      <c r="L919" s="7">
        <v>45657</v>
      </c>
      <c r="M919" s="6" t="s">
        <v>32</v>
      </c>
      <c r="N919" s="8" t="s">
        <v>3578</v>
      </c>
      <c r="O919" s="6">
        <f>HYPERLINK("https://docs.wto.org/imrd/directdoc.asp?DDFDocuments/t/G/TBTN24/CHN1934.DOCX", "https://docs.wto.org/imrd/directdoc.asp?DDFDocuments/t/G/TBTN24/CHN1934.DOCX")</f>
      </c>
      <c r="P919" s="6">
        <f>HYPERLINK("https://docs.wto.org/imrd/directdoc.asp?DDFDocuments/u/G/TBTN24/CHN1934.DOCX", "https://docs.wto.org/imrd/directdoc.asp?DDFDocuments/u/G/TBTN24/CHN1934.DOCX")</f>
      </c>
      <c r="Q919" s="6">
        <f>HYPERLINK("https://docs.wto.org/imrd/directdoc.asp?DDFDocuments/v/G/TBTN24/CHN1934.DOCX", "https://docs.wto.org/imrd/directdoc.asp?DDFDocuments/v/G/TBTN24/CHN1934.DOCX")</f>
      </c>
    </row>
    <row r="920">
      <c r="A920" s="6" t="s">
        <v>17</v>
      </c>
      <c r="B920" s="7">
        <v>45597</v>
      </c>
      <c r="C920" s="9">
        <f>HYPERLINK("https://eping.wto.org/en/Search?viewData= G/TBT/N/KOR/1201/Add.1"," G/TBT/N/KOR/1201/Add.1")</f>
      </c>
      <c r="D920" s="8" t="s">
        <v>3579</v>
      </c>
      <c r="E920" s="8" t="s">
        <v>22</v>
      </c>
      <c r="F920" s="8" t="s">
        <v>3580</v>
      </c>
      <c r="G920" s="8" t="s">
        <v>22</v>
      </c>
      <c r="H920" s="8" t="s">
        <v>22</v>
      </c>
      <c r="I920" s="8" t="s">
        <v>3262</v>
      </c>
      <c r="J920" s="8" t="s">
        <v>22</v>
      </c>
      <c r="K920" s="6"/>
      <c r="L920" s="7" t="s">
        <v>22</v>
      </c>
      <c r="M920" s="6" t="s">
        <v>40</v>
      </c>
      <c r="N920" s="8" t="s">
        <v>3581</v>
      </c>
      <c r="O920" s="6">
        <f>HYPERLINK("https://docs.wto.org/imrd/directdoc.asp?DDFDocuments/t/G/TBTN24/KOR1201A1.DOCX", "https://docs.wto.org/imrd/directdoc.asp?DDFDocuments/t/G/TBTN24/KOR1201A1.DOCX")</f>
      </c>
      <c r="P920" s="6">
        <f>HYPERLINK("https://docs.wto.org/imrd/directdoc.asp?DDFDocuments/u/G/TBTN24/KOR1201A1.DOCX", "https://docs.wto.org/imrd/directdoc.asp?DDFDocuments/u/G/TBTN24/KOR1201A1.DOCX")</f>
      </c>
      <c r="Q920" s="6">
        <f>HYPERLINK("https://docs.wto.org/imrd/directdoc.asp?DDFDocuments/v/G/TBTN24/KOR1201A1.DOCX", "https://docs.wto.org/imrd/directdoc.asp?DDFDocuments/v/G/TBTN24/KOR1201A1.DOCX")</f>
      </c>
    </row>
    <row r="921">
      <c r="A921" s="6" t="s">
        <v>49</v>
      </c>
      <c r="B921" s="7">
        <v>45597</v>
      </c>
      <c r="C921" s="9">
        <f>HYPERLINK("https://eping.wto.org/en/Search?viewData= G/TBT/N/TZA/1194"," G/TBT/N/TZA/1194")</f>
      </c>
      <c r="D921" s="8" t="s">
        <v>3582</v>
      </c>
      <c r="E921" s="8" t="s">
        <v>3583</v>
      </c>
      <c r="F921" s="8" t="s">
        <v>3584</v>
      </c>
      <c r="G921" s="8" t="s">
        <v>3585</v>
      </c>
      <c r="H921" s="8" t="s">
        <v>1111</v>
      </c>
      <c r="I921" s="8" t="s">
        <v>1058</v>
      </c>
      <c r="J921" s="8" t="s">
        <v>58</v>
      </c>
      <c r="K921" s="6"/>
      <c r="L921" s="7">
        <v>45657</v>
      </c>
      <c r="M921" s="6" t="s">
        <v>32</v>
      </c>
      <c r="N921" s="8" t="s">
        <v>3586</v>
      </c>
      <c r="O921" s="6">
        <f>HYPERLINK("https://docs.wto.org/imrd/directdoc.asp?DDFDocuments/t/G/TBTN24/TZA1194.DOCX", "https://docs.wto.org/imrd/directdoc.asp?DDFDocuments/t/G/TBTN24/TZA1194.DOCX")</f>
      </c>
      <c r="P921" s="6">
        <f>HYPERLINK("https://docs.wto.org/imrd/directdoc.asp?DDFDocuments/u/G/TBTN24/TZA1194.DOCX", "https://docs.wto.org/imrd/directdoc.asp?DDFDocuments/u/G/TBTN24/TZA1194.DOCX")</f>
      </c>
      <c r="Q921" s="6">
        <f>HYPERLINK("https://docs.wto.org/imrd/directdoc.asp?DDFDocuments/v/G/TBTN24/TZA1194.DOCX", "https://docs.wto.org/imrd/directdoc.asp?DDFDocuments/v/G/TBTN24/TZA1194.DOCX")</f>
      </c>
    </row>
    <row r="922">
      <c r="A922" s="6" t="s">
        <v>49</v>
      </c>
      <c r="B922" s="7">
        <v>45597</v>
      </c>
      <c r="C922" s="9">
        <f>HYPERLINK("https://eping.wto.org/en/Search?viewData= G/SPS/N/TZA/383"," G/SPS/N/TZA/383")</f>
      </c>
      <c r="D922" s="8" t="s">
        <v>3587</v>
      </c>
      <c r="E922" s="8" t="s">
        <v>3588</v>
      </c>
      <c r="F922" s="8" t="s">
        <v>3589</v>
      </c>
      <c r="G922" s="8" t="s">
        <v>887</v>
      </c>
      <c r="H922" s="8" t="s">
        <v>1111</v>
      </c>
      <c r="I922" s="8" t="s">
        <v>120</v>
      </c>
      <c r="J922" s="8" t="s">
        <v>255</v>
      </c>
      <c r="K922" s="6" t="s">
        <v>22</v>
      </c>
      <c r="L922" s="7">
        <v>45657</v>
      </c>
      <c r="M922" s="6" t="s">
        <v>32</v>
      </c>
      <c r="N922" s="8" t="s">
        <v>3590</v>
      </c>
      <c r="O922" s="6">
        <f>HYPERLINK("https://docs.wto.org/imrd/directdoc.asp?DDFDocuments/t/G/SPS/NTZA383.DOCX", "https://docs.wto.org/imrd/directdoc.asp?DDFDocuments/t/G/SPS/NTZA383.DOCX")</f>
      </c>
      <c r="P922" s="6">
        <f>HYPERLINK("https://docs.wto.org/imrd/directdoc.asp?DDFDocuments/u/G/SPS/NTZA383.DOCX", "https://docs.wto.org/imrd/directdoc.asp?DDFDocuments/u/G/SPS/NTZA383.DOCX")</f>
      </c>
      <c r="Q922" s="6">
        <f>HYPERLINK("https://docs.wto.org/imrd/directdoc.asp?DDFDocuments/v/G/SPS/NTZA383.DOCX", "https://docs.wto.org/imrd/directdoc.asp?DDFDocuments/v/G/SPS/NTZA383.DOCX")</f>
      </c>
    </row>
    <row r="923">
      <c r="A923" s="6" t="s">
        <v>847</v>
      </c>
      <c r="B923" s="7">
        <v>45597</v>
      </c>
      <c r="C923" s="9">
        <f>HYPERLINK("https://eping.wto.org/en/Search?viewData= G/SPS/N/UKR/222/Add.1"," G/SPS/N/UKR/222/Add.1")</f>
      </c>
      <c r="D923" s="8" t="s">
        <v>3591</v>
      </c>
      <c r="E923" s="8" t="s">
        <v>3592</v>
      </c>
      <c r="F923" s="8" t="s">
        <v>3593</v>
      </c>
      <c r="G923" s="8" t="s">
        <v>22</v>
      </c>
      <c r="H923" s="8" t="s">
        <v>22</v>
      </c>
      <c r="I923" s="8" t="s">
        <v>128</v>
      </c>
      <c r="J923" s="8" t="s">
        <v>1666</v>
      </c>
      <c r="K923" s="6"/>
      <c r="L923" s="7" t="s">
        <v>22</v>
      </c>
      <c r="M923" s="6" t="s">
        <v>40</v>
      </c>
      <c r="N923" s="8" t="s">
        <v>3594</v>
      </c>
      <c r="O923" s="6">
        <f>HYPERLINK("https://docs.wto.org/imrd/directdoc.asp?DDFDocuments/t/G/SPS/NUKR222A1.DOCX", "https://docs.wto.org/imrd/directdoc.asp?DDFDocuments/t/G/SPS/NUKR222A1.DOCX")</f>
      </c>
      <c r="P923" s="6"/>
      <c r="Q923" s="6"/>
    </row>
    <row r="924">
      <c r="A924" s="6" t="s">
        <v>49</v>
      </c>
      <c r="B924" s="7">
        <v>45597</v>
      </c>
      <c r="C924" s="9">
        <f>HYPERLINK("https://eping.wto.org/en/Search?viewData= G/SPS/N/TZA/384"," G/SPS/N/TZA/384")</f>
      </c>
      <c r="D924" s="8" t="s">
        <v>3595</v>
      </c>
      <c r="E924" s="8" t="s">
        <v>3596</v>
      </c>
      <c r="F924" s="8" t="s">
        <v>3597</v>
      </c>
      <c r="G924" s="8" t="s">
        <v>3598</v>
      </c>
      <c r="H924" s="8" t="s">
        <v>1111</v>
      </c>
      <c r="I924" s="8" t="s">
        <v>120</v>
      </c>
      <c r="J924" s="8" t="s">
        <v>416</v>
      </c>
      <c r="K924" s="6" t="s">
        <v>22</v>
      </c>
      <c r="L924" s="7">
        <v>45657</v>
      </c>
      <c r="M924" s="6" t="s">
        <v>32</v>
      </c>
      <c r="N924" s="8" t="s">
        <v>3599</v>
      </c>
      <c r="O924" s="6">
        <f>HYPERLINK("https://docs.wto.org/imrd/directdoc.asp?DDFDocuments/t/G/SPS/NTZA384.DOCX", "https://docs.wto.org/imrd/directdoc.asp?DDFDocuments/t/G/SPS/NTZA384.DOCX")</f>
      </c>
      <c r="P924" s="6">
        <f>HYPERLINK("https://docs.wto.org/imrd/directdoc.asp?DDFDocuments/u/G/SPS/NTZA384.DOCX", "https://docs.wto.org/imrd/directdoc.asp?DDFDocuments/u/G/SPS/NTZA384.DOCX")</f>
      </c>
      <c r="Q924" s="6">
        <f>HYPERLINK("https://docs.wto.org/imrd/directdoc.asp?DDFDocuments/v/G/SPS/NTZA384.DOCX", "https://docs.wto.org/imrd/directdoc.asp?DDFDocuments/v/G/SPS/NTZA384.DOCX")</f>
      </c>
    </row>
    <row r="925">
      <c r="A925" s="6" t="s">
        <v>49</v>
      </c>
      <c r="B925" s="7">
        <v>45597</v>
      </c>
      <c r="C925" s="9">
        <f>HYPERLINK("https://eping.wto.org/en/Search?viewData= G/TBT/N/TZA/1195"," G/TBT/N/TZA/1195")</f>
      </c>
      <c r="D925" s="8" t="s">
        <v>3600</v>
      </c>
      <c r="E925" s="8" t="s">
        <v>3601</v>
      </c>
      <c r="F925" s="8" t="s">
        <v>3602</v>
      </c>
      <c r="G925" s="8" t="s">
        <v>887</v>
      </c>
      <c r="H925" s="8" t="s">
        <v>1111</v>
      </c>
      <c r="I925" s="8" t="s">
        <v>1058</v>
      </c>
      <c r="J925" s="8" t="s">
        <v>58</v>
      </c>
      <c r="K925" s="6"/>
      <c r="L925" s="7">
        <v>45657</v>
      </c>
      <c r="M925" s="6" t="s">
        <v>32</v>
      </c>
      <c r="N925" s="8" t="s">
        <v>3603</v>
      </c>
      <c r="O925" s="6">
        <f>HYPERLINK("https://docs.wto.org/imrd/directdoc.asp?DDFDocuments/t/G/TBTN24/TZA1195.DOCX", "https://docs.wto.org/imrd/directdoc.asp?DDFDocuments/t/G/TBTN24/TZA1195.DOCX")</f>
      </c>
      <c r="P925" s="6">
        <f>HYPERLINK("https://docs.wto.org/imrd/directdoc.asp?DDFDocuments/u/G/TBTN24/TZA1195.DOCX", "https://docs.wto.org/imrd/directdoc.asp?DDFDocuments/u/G/TBTN24/TZA1195.DOCX")</f>
      </c>
      <c r="Q925" s="6">
        <f>HYPERLINK("https://docs.wto.org/imrd/directdoc.asp?DDFDocuments/v/G/TBTN24/TZA1195.DOCX", "https://docs.wto.org/imrd/directdoc.asp?DDFDocuments/v/G/TBTN24/TZA1195.DOCX")</f>
      </c>
    </row>
    <row r="926">
      <c r="A926" s="6" t="s">
        <v>496</v>
      </c>
      <c r="B926" s="7">
        <v>45597</v>
      </c>
      <c r="C926" s="9">
        <f>HYPERLINK("https://eping.wto.org/en/Search?viewData= G/TBT/N/GBR/94"," G/TBT/N/GBR/94")</f>
      </c>
      <c r="D926" s="8" t="s">
        <v>3604</v>
      </c>
      <c r="E926" s="8" t="s">
        <v>3605</v>
      </c>
      <c r="F926" s="8" t="s">
        <v>3606</v>
      </c>
      <c r="G926" s="8" t="s">
        <v>3607</v>
      </c>
      <c r="H926" s="8" t="s">
        <v>3608</v>
      </c>
      <c r="I926" s="8" t="s">
        <v>1482</v>
      </c>
      <c r="J926" s="8" t="s">
        <v>22</v>
      </c>
      <c r="K926" s="6"/>
      <c r="L926" s="7">
        <v>45657</v>
      </c>
      <c r="M926" s="6" t="s">
        <v>32</v>
      </c>
      <c r="N926" s="8" t="s">
        <v>3609</v>
      </c>
      <c r="O926" s="6">
        <f>HYPERLINK("https://docs.wto.org/imrd/directdoc.asp?DDFDocuments/t/G/TBTN24/GBR94.DOCX", "https://docs.wto.org/imrd/directdoc.asp?DDFDocuments/t/G/TBTN24/GBR94.DOCX")</f>
      </c>
      <c r="P926" s="6">
        <f>HYPERLINK("https://docs.wto.org/imrd/directdoc.asp?DDFDocuments/u/G/TBTN24/GBR94.DOCX", "https://docs.wto.org/imrd/directdoc.asp?DDFDocuments/u/G/TBTN24/GBR94.DOCX")</f>
      </c>
      <c r="Q926" s="6">
        <f>HYPERLINK("https://docs.wto.org/imrd/directdoc.asp?DDFDocuments/v/G/TBTN24/GBR94.DOCX", "https://docs.wto.org/imrd/directdoc.asp?DDFDocuments/v/G/TBTN24/GBR94.DOCX")</f>
      </c>
    </row>
    <row r="927">
      <c r="A927" s="6" t="s">
        <v>49</v>
      </c>
      <c r="B927" s="7">
        <v>45597</v>
      </c>
      <c r="C927" s="9">
        <f>HYPERLINK("https://eping.wto.org/en/Search?viewData= G/SPS/N/TZA/382"," G/SPS/N/TZA/382")</f>
      </c>
      <c r="D927" s="8" t="s">
        <v>3610</v>
      </c>
      <c r="E927" s="8" t="s">
        <v>3611</v>
      </c>
      <c r="F927" s="8" t="s">
        <v>3612</v>
      </c>
      <c r="G927" s="8" t="s">
        <v>3585</v>
      </c>
      <c r="H927" s="8" t="s">
        <v>1111</v>
      </c>
      <c r="I927" s="8" t="s">
        <v>120</v>
      </c>
      <c r="J927" s="8" t="s">
        <v>416</v>
      </c>
      <c r="K927" s="6" t="s">
        <v>22</v>
      </c>
      <c r="L927" s="7">
        <v>45657</v>
      </c>
      <c r="M927" s="6" t="s">
        <v>32</v>
      </c>
      <c r="N927" s="8" t="s">
        <v>3613</v>
      </c>
      <c r="O927" s="6">
        <f>HYPERLINK("https://docs.wto.org/imrd/directdoc.asp?DDFDocuments/t/G/SPS/NTZA382.DOCX", "https://docs.wto.org/imrd/directdoc.asp?DDFDocuments/t/G/SPS/NTZA382.DOCX")</f>
      </c>
      <c r="P927" s="6">
        <f>HYPERLINK("https://docs.wto.org/imrd/directdoc.asp?DDFDocuments/u/G/SPS/NTZA382.DOCX", "https://docs.wto.org/imrd/directdoc.asp?DDFDocuments/u/G/SPS/NTZA382.DOCX")</f>
      </c>
      <c r="Q927" s="6">
        <f>HYPERLINK("https://docs.wto.org/imrd/directdoc.asp?DDFDocuments/v/G/SPS/NTZA382.DOCX", "https://docs.wto.org/imrd/directdoc.asp?DDFDocuments/v/G/SPS/NTZA382.DOCX")</f>
      </c>
    </row>
    <row r="928">
      <c r="A928" s="6" t="s">
        <v>49</v>
      </c>
      <c r="B928" s="7">
        <v>45597</v>
      </c>
      <c r="C928" s="9">
        <f>HYPERLINK("https://eping.wto.org/en/Search?viewData= G/SPS/N/TZA/386"," G/SPS/N/TZA/386")</f>
      </c>
      <c r="D928" s="8" t="s">
        <v>3614</v>
      </c>
      <c r="E928" s="8" t="s">
        <v>3615</v>
      </c>
      <c r="F928" s="8" t="s">
        <v>3616</v>
      </c>
      <c r="G928" s="8" t="s">
        <v>1307</v>
      </c>
      <c r="H928" s="8" t="s">
        <v>872</v>
      </c>
      <c r="I928" s="8" t="s">
        <v>120</v>
      </c>
      <c r="J928" s="8" t="s">
        <v>416</v>
      </c>
      <c r="K928" s="6" t="s">
        <v>22</v>
      </c>
      <c r="L928" s="7">
        <v>45657</v>
      </c>
      <c r="M928" s="6" t="s">
        <v>32</v>
      </c>
      <c r="N928" s="8" t="s">
        <v>3617</v>
      </c>
      <c r="O928" s="6">
        <f>HYPERLINK("https://docs.wto.org/imrd/directdoc.asp?DDFDocuments/t/G/SPS/NTZA386.DOCX", "https://docs.wto.org/imrd/directdoc.asp?DDFDocuments/t/G/SPS/NTZA386.DOCX")</f>
      </c>
      <c r="P928" s="6">
        <f>HYPERLINK("https://docs.wto.org/imrd/directdoc.asp?DDFDocuments/u/G/SPS/NTZA386.DOCX", "https://docs.wto.org/imrd/directdoc.asp?DDFDocuments/u/G/SPS/NTZA386.DOCX")</f>
      </c>
      <c r="Q928" s="6">
        <f>HYPERLINK("https://docs.wto.org/imrd/directdoc.asp?DDFDocuments/v/G/SPS/NTZA386.DOCX", "https://docs.wto.org/imrd/directdoc.asp?DDFDocuments/v/G/SPS/NTZA386.DOCX")</f>
      </c>
    </row>
    <row r="929">
      <c r="A929" s="6" t="s">
        <v>49</v>
      </c>
      <c r="B929" s="7">
        <v>45597</v>
      </c>
      <c r="C929" s="9">
        <f>HYPERLINK("https://eping.wto.org/en/Search?viewData= G/TBT/N/TZA/1196"," G/TBT/N/TZA/1196")</f>
      </c>
      <c r="D929" s="8" t="s">
        <v>3618</v>
      </c>
      <c r="E929" s="8" t="s">
        <v>3619</v>
      </c>
      <c r="F929" s="8" t="s">
        <v>3616</v>
      </c>
      <c r="G929" s="8" t="s">
        <v>1307</v>
      </c>
      <c r="H929" s="8" t="s">
        <v>872</v>
      </c>
      <c r="I929" s="8" t="s">
        <v>1058</v>
      </c>
      <c r="J929" s="8" t="s">
        <v>58</v>
      </c>
      <c r="K929" s="6"/>
      <c r="L929" s="7">
        <v>45657</v>
      </c>
      <c r="M929" s="6" t="s">
        <v>32</v>
      </c>
      <c r="N929" s="8" t="s">
        <v>3620</v>
      </c>
      <c r="O929" s="6">
        <f>HYPERLINK("https://docs.wto.org/imrd/directdoc.asp?DDFDocuments/t/G/TBTN24/TZA1196.DOCX", "https://docs.wto.org/imrd/directdoc.asp?DDFDocuments/t/G/TBTN24/TZA1196.DOCX")</f>
      </c>
      <c r="P929" s="6">
        <f>HYPERLINK("https://docs.wto.org/imrd/directdoc.asp?DDFDocuments/u/G/TBTN24/TZA1196.DOCX", "https://docs.wto.org/imrd/directdoc.asp?DDFDocuments/u/G/TBTN24/TZA1196.DOCX")</f>
      </c>
      <c r="Q929" s="6">
        <f>HYPERLINK("https://docs.wto.org/imrd/directdoc.asp?DDFDocuments/v/G/TBTN24/TZA1196.DOCX", "https://docs.wto.org/imrd/directdoc.asp?DDFDocuments/v/G/TBTN24/TZA1196.DOCX")</f>
      </c>
    </row>
    <row r="930">
      <c r="A930" s="6" t="s">
        <v>49</v>
      </c>
      <c r="B930" s="7">
        <v>45597</v>
      </c>
      <c r="C930" s="9">
        <f>HYPERLINK("https://eping.wto.org/en/Search?viewData= G/TBT/N/TZA/1199"," G/TBT/N/TZA/1199")</f>
      </c>
      <c r="D930" s="8" t="s">
        <v>3621</v>
      </c>
      <c r="E930" s="8" t="s">
        <v>3622</v>
      </c>
      <c r="F930" s="8" t="s">
        <v>3623</v>
      </c>
      <c r="G930" s="8" t="s">
        <v>3427</v>
      </c>
      <c r="H930" s="8" t="s">
        <v>872</v>
      </c>
      <c r="I930" s="8" t="s">
        <v>1058</v>
      </c>
      <c r="J930" s="8" t="s">
        <v>58</v>
      </c>
      <c r="K930" s="6"/>
      <c r="L930" s="7">
        <v>45657</v>
      </c>
      <c r="M930" s="6" t="s">
        <v>32</v>
      </c>
      <c r="N930" s="8" t="s">
        <v>3624</v>
      </c>
      <c r="O930" s="6">
        <f>HYPERLINK("https://docs.wto.org/imrd/directdoc.asp?DDFDocuments/t/G/TBTN24/TZA1199.DOCX", "https://docs.wto.org/imrd/directdoc.asp?DDFDocuments/t/G/TBTN24/TZA1199.DOCX")</f>
      </c>
      <c r="P930" s="6">
        <f>HYPERLINK("https://docs.wto.org/imrd/directdoc.asp?DDFDocuments/u/G/TBTN24/TZA1199.DOCX", "https://docs.wto.org/imrd/directdoc.asp?DDFDocuments/u/G/TBTN24/TZA1199.DOCX")</f>
      </c>
      <c r="Q930" s="6">
        <f>HYPERLINK("https://docs.wto.org/imrd/directdoc.asp?DDFDocuments/v/G/TBTN24/TZA1199.DOCX", "https://docs.wto.org/imrd/directdoc.asp?DDFDocuments/v/G/TBTN24/TZA1199.DOCX")</f>
      </c>
    </row>
    <row r="931">
      <c r="A931" s="6" t="s">
        <v>49</v>
      </c>
      <c r="B931" s="7">
        <v>45597</v>
      </c>
      <c r="C931" s="9">
        <f>HYPERLINK("https://eping.wto.org/en/Search?viewData= G/TBT/N/TZA/1198"," G/TBT/N/TZA/1198")</f>
      </c>
      <c r="D931" s="8" t="s">
        <v>3625</v>
      </c>
      <c r="E931" s="8" t="s">
        <v>3626</v>
      </c>
      <c r="F931" s="8" t="s">
        <v>3562</v>
      </c>
      <c r="G931" s="8" t="s">
        <v>3563</v>
      </c>
      <c r="H931" s="8" t="s">
        <v>872</v>
      </c>
      <c r="I931" s="8" t="s">
        <v>1058</v>
      </c>
      <c r="J931" s="8" t="s">
        <v>58</v>
      </c>
      <c r="K931" s="6"/>
      <c r="L931" s="7">
        <v>45657</v>
      </c>
      <c r="M931" s="6" t="s">
        <v>32</v>
      </c>
      <c r="N931" s="8" t="s">
        <v>3627</v>
      </c>
      <c r="O931" s="6">
        <f>HYPERLINK("https://docs.wto.org/imrd/directdoc.asp?DDFDocuments/t/G/TBTN24/TZA1198.DOCX", "https://docs.wto.org/imrd/directdoc.asp?DDFDocuments/t/G/TBTN24/TZA1198.DOCX")</f>
      </c>
      <c r="P931" s="6">
        <f>HYPERLINK("https://docs.wto.org/imrd/directdoc.asp?DDFDocuments/u/G/TBTN24/TZA1198.DOCX", "https://docs.wto.org/imrd/directdoc.asp?DDFDocuments/u/G/TBTN24/TZA1198.DOCX")</f>
      </c>
      <c r="Q931" s="6">
        <f>HYPERLINK("https://docs.wto.org/imrd/directdoc.asp?DDFDocuments/v/G/TBTN24/TZA1198.DOCX", "https://docs.wto.org/imrd/directdoc.asp?DDFDocuments/v/G/TBTN24/TZA1198.DOCX")</f>
      </c>
    </row>
    <row r="932">
      <c r="A932" s="6" t="s">
        <v>49</v>
      </c>
      <c r="B932" s="7">
        <v>45597</v>
      </c>
      <c r="C932" s="9">
        <f>HYPERLINK("https://eping.wto.org/en/Search?viewData= G/TBT/N/TZA/1197"," G/TBT/N/TZA/1197")</f>
      </c>
      <c r="D932" s="8" t="s">
        <v>3628</v>
      </c>
      <c r="E932" s="8" t="s">
        <v>3629</v>
      </c>
      <c r="F932" s="8" t="s">
        <v>3630</v>
      </c>
      <c r="G932" s="8" t="s">
        <v>3598</v>
      </c>
      <c r="H932" s="8" t="s">
        <v>1111</v>
      </c>
      <c r="I932" s="8" t="s">
        <v>1058</v>
      </c>
      <c r="J932" s="8" t="s">
        <v>58</v>
      </c>
      <c r="K932" s="6"/>
      <c r="L932" s="7">
        <v>45657</v>
      </c>
      <c r="M932" s="6" t="s">
        <v>32</v>
      </c>
      <c r="N932" s="8" t="s">
        <v>3631</v>
      </c>
      <c r="O932" s="6">
        <f>HYPERLINK("https://docs.wto.org/imrd/directdoc.asp?DDFDocuments/t/G/TBTN24/TZA1197.DOCX", "https://docs.wto.org/imrd/directdoc.asp?DDFDocuments/t/G/TBTN24/TZA1197.DOCX")</f>
      </c>
      <c r="P932" s="6">
        <f>HYPERLINK("https://docs.wto.org/imrd/directdoc.asp?DDFDocuments/u/G/TBTN24/TZA1197.DOCX", "https://docs.wto.org/imrd/directdoc.asp?DDFDocuments/u/G/TBTN24/TZA1197.DOCX")</f>
      </c>
      <c r="Q932" s="6">
        <f>HYPERLINK("https://docs.wto.org/imrd/directdoc.asp?DDFDocuments/v/G/TBTN24/TZA1197.DOCX", "https://docs.wto.org/imrd/directdoc.asp?DDFDocuments/v/G/TBTN24/TZA1197.DOCX")</f>
      </c>
    </row>
    <row r="933">
      <c r="A933" s="6" t="s">
        <v>418</v>
      </c>
      <c r="B933" s="7">
        <v>45597</v>
      </c>
      <c r="C933" s="9">
        <f>HYPERLINK("https://eping.wto.org/en/Search?viewData= G/SPS/N/EU/799"," G/SPS/N/EU/799")</f>
      </c>
      <c r="D933" s="8" t="s">
        <v>3632</v>
      </c>
      <c r="E933" s="8" t="s">
        <v>3633</v>
      </c>
      <c r="F933" s="8" t="s">
        <v>3634</v>
      </c>
      <c r="G933" s="8" t="s">
        <v>3086</v>
      </c>
      <c r="H933" s="8" t="s">
        <v>22</v>
      </c>
      <c r="I933" s="8" t="s">
        <v>175</v>
      </c>
      <c r="J933" s="8" t="s">
        <v>337</v>
      </c>
      <c r="K933" s="6"/>
      <c r="L933" s="7" t="s">
        <v>22</v>
      </c>
      <c r="M933" s="6" t="s">
        <v>32</v>
      </c>
      <c r="N933" s="8" t="s">
        <v>3635</v>
      </c>
      <c r="O933" s="6">
        <f>HYPERLINK("https://docs.wto.org/imrd/directdoc.asp?DDFDocuments/t/G/SPS/NEU799.DOCX", "https://docs.wto.org/imrd/directdoc.asp?DDFDocuments/t/G/SPS/NEU799.DOCX")</f>
      </c>
      <c r="P933" s="6">
        <f>HYPERLINK("https://docs.wto.org/imrd/directdoc.asp?DDFDocuments/u/G/SPS/NEU799.DOCX", "https://docs.wto.org/imrd/directdoc.asp?DDFDocuments/u/G/SPS/NEU799.DOCX")</f>
      </c>
      <c r="Q933" s="6">
        <f>HYPERLINK("https://docs.wto.org/imrd/directdoc.asp?DDFDocuments/v/G/SPS/NEU799.DOCX", "https://docs.wto.org/imrd/directdoc.asp?DDFDocuments/v/G/SPS/NEU799.DOCX")</f>
      </c>
    </row>
    <row r="934">
      <c r="A934" s="6" t="s">
        <v>400</v>
      </c>
      <c r="B934" s="7">
        <v>45597</v>
      </c>
      <c r="C934" s="9">
        <f>HYPERLINK("https://eping.wto.org/en/Search?viewData= G/TBT/N/USA/1663/Add.3/Corr.1"," G/TBT/N/USA/1663/Add.3/Corr.1")</f>
      </c>
      <c r="D934" s="8" t="s">
        <v>3636</v>
      </c>
      <c r="E934" s="8" t="s">
        <v>3637</v>
      </c>
      <c r="F934" s="8" t="s">
        <v>3638</v>
      </c>
      <c r="G934" s="8" t="s">
        <v>22</v>
      </c>
      <c r="H934" s="8" t="s">
        <v>3639</v>
      </c>
      <c r="I934" s="8" t="s">
        <v>1837</v>
      </c>
      <c r="J934" s="8" t="s">
        <v>22</v>
      </c>
      <c r="K934" s="6"/>
      <c r="L934" s="7" t="s">
        <v>22</v>
      </c>
      <c r="M934" s="6" t="s">
        <v>248</v>
      </c>
      <c r="N934" s="8" t="s">
        <v>3640</v>
      </c>
      <c r="O934" s="6">
        <f>HYPERLINK("https://docs.wto.org/imrd/directdoc.asp?DDFDocuments/t/G/TBTN20/USA1663A3C1.DOCX", "https://docs.wto.org/imrd/directdoc.asp?DDFDocuments/t/G/TBTN20/USA1663A3C1.DOCX")</f>
      </c>
      <c r="P934" s="6">
        <f>HYPERLINK("https://docs.wto.org/imrd/directdoc.asp?DDFDocuments/u/G/TBTN20/USA1663A3C1.DOCX", "https://docs.wto.org/imrd/directdoc.asp?DDFDocuments/u/G/TBTN20/USA1663A3C1.DOCX")</f>
      </c>
      <c r="Q934" s="6">
        <f>HYPERLINK("https://docs.wto.org/imrd/directdoc.asp?DDFDocuments/v/G/TBTN20/USA1663A3C1.DOCX", "https://docs.wto.org/imrd/directdoc.asp?DDFDocuments/v/G/TBTN20/USA1663A3C1.DOCX")</f>
      </c>
    </row>
    <row r="935">
      <c r="A935" s="6" t="s">
        <v>343</v>
      </c>
      <c r="B935" s="7">
        <v>45596</v>
      </c>
      <c r="C935" s="9">
        <f>HYPERLINK("https://eping.wto.org/en/Search?viewData= G/TBT/N/THA/711/Rev.1"," G/TBT/N/THA/711/Rev.1")</f>
      </c>
      <c r="D935" s="8" t="s">
        <v>3641</v>
      </c>
      <c r="E935" s="8" t="s">
        <v>3642</v>
      </c>
      <c r="F935" s="8" t="s">
        <v>3643</v>
      </c>
      <c r="G935" s="8" t="s">
        <v>22</v>
      </c>
      <c r="H935" s="8" t="s">
        <v>3644</v>
      </c>
      <c r="I935" s="8" t="s">
        <v>641</v>
      </c>
      <c r="J935" s="8" t="s">
        <v>22</v>
      </c>
      <c r="K935" s="6"/>
      <c r="L935" s="7">
        <v>45626</v>
      </c>
      <c r="M935" s="6" t="s">
        <v>1170</v>
      </c>
      <c r="N935" s="8" t="s">
        <v>3645</v>
      </c>
      <c r="O935" s="6">
        <f>HYPERLINK("https://docs.wto.org/imrd/directdoc.asp?DDFDocuments/t/G/TBTN23/THA711R1.DOCX", "https://docs.wto.org/imrd/directdoc.asp?DDFDocuments/t/G/TBTN23/THA711R1.DOCX")</f>
      </c>
      <c r="P935" s="6">
        <f>HYPERLINK("https://docs.wto.org/imrd/directdoc.asp?DDFDocuments/u/G/TBTN23/THA711R1.DOCX", "https://docs.wto.org/imrd/directdoc.asp?DDFDocuments/u/G/TBTN23/THA711R1.DOCX")</f>
      </c>
      <c r="Q935" s="6">
        <f>HYPERLINK("https://docs.wto.org/imrd/directdoc.asp?DDFDocuments/v/G/TBTN23/THA711R1.DOCX", "https://docs.wto.org/imrd/directdoc.asp?DDFDocuments/v/G/TBTN23/THA711R1.DOCX")</f>
      </c>
    </row>
    <row r="936">
      <c r="A936" s="6" t="s">
        <v>400</v>
      </c>
      <c r="B936" s="7">
        <v>45596</v>
      </c>
      <c r="C936" s="9">
        <f>HYPERLINK("https://eping.wto.org/en/Search?viewData= G/TBT/N/USA/1123/Add.1"," G/TBT/N/USA/1123/Add.1")</f>
      </c>
      <c r="D936" s="8" t="s">
        <v>3646</v>
      </c>
      <c r="E936" s="8" t="s">
        <v>3647</v>
      </c>
      <c r="F936" s="8" t="s">
        <v>3648</v>
      </c>
      <c r="G936" s="8" t="s">
        <v>22</v>
      </c>
      <c r="H936" s="8" t="s">
        <v>3649</v>
      </c>
      <c r="I936" s="8" t="s">
        <v>39</v>
      </c>
      <c r="J936" s="8" t="s">
        <v>22</v>
      </c>
      <c r="K936" s="6"/>
      <c r="L936" s="7">
        <v>45642</v>
      </c>
      <c r="M936" s="6" t="s">
        <v>40</v>
      </c>
      <c r="N936" s="8" t="s">
        <v>3650</v>
      </c>
      <c r="O936" s="6">
        <f>HYPERLINK("https://docs.wto.org/imrd/directdoc.asp?DDFDocuments/t/G/TBTN16/USA1123A1.DOCX", "https://docs.wto.org/imrd/directdoc.asp?DDFDocuments/t/G/TBTN16/USA1123A1.DOCX")</f>
      </c>
      <c r="P936" s="6">
        <f>HYPERLINK("https://docs.wto.org/imrd/directdoc.asp?DDFDocuments/u/G/TBTN16/USA1123A1.DOCX", "https://docs.wto.org/imrd/directdoc.asp?DDFDocuments/u/G/TBTN16/USA1123A1.DOCX")</f>
      </c>
      <c r="Q936" s="6">
        <f>HYPERLINK("https://docs.wto.org/imrd/directdoc.asp?DDFDocuments/v/G/TBTN16/USA1123A1.DOCX", "https://docs.wto.org/imrd/directdoc.asp?DDFDocuments/v/G/TBTN16/USA1123A1.DOCX")</f>
      </c>
    </row>
    <row r="937">
      <c r="A937" s="6" t="s">
        <v>343</v>
      </c>
      <c r="B937" s="7">
        <v>45596</v>
      </c>
      <c r="C937" s="9">
        <f>HYPERLINK("https://eping.wto.org/en/Search?viewData= G/TBT/N/THA/710/Rev.1"," G/TBT/N/THA/710/Rev.1")</f>
      </c>
      <c r="D937" s="8" t="s">
        <v>3651</v>
      </c>
      <c r="E937" s="8" t="s">
        <v>3652</v>
      </c>
      <c r="F937" s="8" t="s">
        <v>3653</v>
      </c>
      <c r="G937" s="8" t="s">
        <v>22</v>
      </c>
      <c r="H937" s="8" t="s">
        <v>3644</v>
      </c>
      <c r="I937" s="8" t="s">
        <v>641</v>
      </c>
      <c r="J937" s="8" t="s">
        <v>22</v>
      </c>
      <c r="K937" s="6"/>
      <c r="L937" s="7">
        <v>45626</v>
      </c>
      <c r="M937" s="6" t="s">
        <v>1170</v>
      </c>
      <c r="N937" s="8" t="s">
        <v>3654</v>
      </c>
      <c r="O937" s="6">
        <f>HYPERLINK("https://docs.wto.org/imrd/directdoc.asp?DDFDocuments/t/G/TBTN23/THA710R1.DOCX", "https://docs.wto.org/imrd/directdoc.asp?DDFDocuments/t/G/TBTN23/THA710R1.DOCX")</f>
      </c>
      <c r="P937" s="6">
        <f>HYPERLINK("https://docs.wto.org/imrd/directdoc.asp?DDFDocuments/u/G/TBTN23/THA710R1.DOCX", "https://docs.wto.org/imrd/directdoc.asp?DDFDocuments/u/G/TBTN23/THA710R1.DOCX")</f>
      </c>
      <c r="Q937" s="6">
        <f>HYPERLINK("https://docs.wto.org/imrd/directdoc.asp?DDFDocuments/v/G/TBTN23/THA710R1.DOCX", "https://docs.wto.org/imrd/directdoc.asp?DDFDocuments/v/G/TBTN23/THA710R1.DOCX")</f>
      </c>
    </row>
    <row r="938">
      <c r="A938" s="6" t="s">
        <v>472</v>
      </c>
      <c r="B938" s="7">
        <v>45596</v>
      </c>
      <c r="C938" s="9">
        <f>HYPERLINK("https://eping.wto.org/en/Search?viewData= G/SPS/N/JPN/1306"," G/SPS/N/JPN/1306")</f>
      </c>
      <c r="D938" s="8" t="s">
        <v>3655</v>
      </c>
      <c r="E938" s="8" t="s">
        <v>3656</v>
      </c>
      <c r="F938" s="8" t="s">
        <v>3657</v>
      </c>
      <c r="G938" s="8" t="s">
        <v>1614</v>
      </c>
      <c r="H938" s="8" t="s">
        <v>22</v>
      </c>
      <c r="I938" s="8" t="s">
        <v>348</v>
      </c>
      <c r="J938" s="8" t="s">
        <v>3658</v>
      </c>
      <c r="K938" s="6" t="s">
        <v>677</v>
      </c>
      <c r="L938" s="7" t="s">
        <v>22</v>
      </c>
      <c r="M938" s="6" t="s">
        <v>331</v>
      </c>
      <c r="N938" s="8" t="s">
        <v>3659</v>
      </c>
      <c r="O938" s="6">
        <f>HYPERLINK("https://docs.wto.org/imrd/directdoc.asp?DDFDocuments/t/G/SPS/NJPN1306.DOCX", "https://docs.wto.org/imrd/directdoc.asp?DDFDocuments/t/G/SPS/NJPN1306.DOCX")</f>
      </c>
      <c r="P938" s="6">
        <f>HYPERLINK("https://docs.wto.org/imrd/directdoc.asp?DDFDocuments/u/G/SPS/NJPN1306.DOCX", "https://docs.wto.org/imrd/directdoc.asp?DDFDocuments/u/G/SPS/NJPN1306.DOCX")</f>
      </c>
      <c r="Q938" s="6">
        <f>HYPERLINK("https://docs.wto.org/imrd/directdoc.asp?DDFDocuments/v/G/SPS/NJPN1306.DOCX", "https://docs.wto.org/imrd/directdoc.asp?DDFDocuments/v/G/SPS/NJPN1306.DOCX")</f>
      </c>
    </row>
    <row r="939">
      <c r="A939" s="6" t="s">
        <v>1443</v>
      </c>
      <c r="B939" s="7">
        <v>45596</v>
      </c>
      <c r="C939" s="9">
        <f>HYPERLINK("https://eping.wto.org/en/Search?viewData= G/TBT/N/IDN/131/Add.2"," G/TBT/N/IDN/131/Add.2")</f>
      </c>
      <c r="D939" s="8" t="s">
        <v>3660</v>
      </c>
      <c r="E939" s="8" t="s">
        <v>3661</v>
      </c>
      <c r="F939" s="8" t="s">
        <v>3662</v>
      </c>
      <c r="G939" s="8" t="s">
        <v>22</v>
      </c>
      <c r="H939" s="8" t="s">
        <v>22</v>
      </c>
      <c r="I939" s="8" t="s">
        <v>701</v>
      </c>
      <c r="J939" s="8" t="s">
        <v>22</v>
      </c>
      <c r="K939" s="6"/>
      <c r="L939" s="7" t="s">
        <v>22</v>
      </c>
      <c r="M939" s="6" t="s">
        <v>40</v>
      </c>
      <c r="N939" s="8" t="s">
        <v>3663</v>
      </c>
      <c r="O939" s="6">
        <f>HYPERLINK("https://docs.wto.org/imrd/directdoc.asp?DDFDocuments/t/G/TBTN21/IDN131A2.DOCX", "https://docs.wto.org/imrd/directdoc.asp?DDFDocuments/t/G/TBTN21/IDN131A2.DOCX")</f>
      </c>
      <c r="P939" s="6">
        <f>HYPERLINK("https://docs.wto.org/imrd/directdoc.asp?DDFDocuments/u/G/TBTN21/IDN131A2.DOCX", "https://docs.wto.org/imrd/directdoc.asp?DDFDocuments/u/G/TBTN21/IDN131A2.DOCX")</f>
      </c>
      <c r="Q939" s="6">
        <f>HYPERLINK("https://docs.wto.org/imrd/directdoc.asp?DDFDocuments/v/G/TBTN21/IDN131A2.DOCX", "https://docs.wto.org/imrd/directdoc.asp?DDFDocuments/v/G/TBTN21/IDN131A2.DOCX")</f>
      </c>
    </row>
    <row r="940">
      <c r="A940" s="6" t="s">
        <v>123</v>
      </c>
      <c r="B940" s="7">
        <v>45596</v>
      </c>
      <c r="C940" s="9">
        <f>HYPERLINK("https://eping.wto.org/en/Search?viewData= G/SPS/N/ECU/354"," G/SPS/N/ECU/354")</f>
      </c>
      <c r="D940" s="8" t="s">
        <v>3664</v>
      </c>
      <c r="E940" s="8" t="s">
        <v>3665</v>
      </c>
      <c r="F940" s="8" t="s">
        <v>3666</v>
      </c>
      <c r="G940" s="8" t="s">
        <v>3667</v>
      </c>
      <c r="H940" s="8" t="s">
        <v>22</v>
      </c>
      <c r="I940" s="8" t="s">
        <v>120</v>
      </c>
      <c r="J940" s="8" t="s">
        <v>416</v>
      </c>
      <c r="K940" s="6" t="s">
        <v>22</v>
      </c>
      <c r="L940" s="7">
        <v>45656</v>
      </c>
      <c r="M940" s="6" t="s">
        <v>32</v>
      </c>
      <c r="N940" s="8" t="s">
        <v>3668</v>
      </c>
      <c r="O940" s="6">
        <f>HYPERLINK("https://docs.wto.org/imrd/directdoc.asp?DDFDocuments/t/G/SPS/NECU354.DOCX", "https://docs.wto.org/imrd/directdoc.asp?DDFDocuments/t/G/SPS/NECU354.DOCX")</f>
      </c>
      <c r="P940" s="6">
        <f>HYPERLINK("https://docs.wto.org/imrd/directdoc.asp?DDFDocuments/u/G/SPS/NECU354.DOCX", "https://docs.wto.org/imrd/directdoc.asp?DDFDocuments/u/G/SPS/NECU354.DOCX")</f>
      </c>
      <c r="Q940" s="6">
        <f>HYPERLINK("https://docs.wto.org/imrd/directdoc.asp?DDFDocuments/v/G/SPS/NECU354.DOCX", "https://docs.wto.org/imrd/directdoc.asp?DDFDocuments/v/G/SPS/NECU354.DOCX")</f>
      </c>
    </row>
    <row r="941">
      <c r="A941" s="6" t="s">
        <v>17</v>
      </c>
      <c r="B941" s="7">
        <v>45596</v>
      </c>
      <c r="C941" s="9">
        <f>HYPERLINK("https://eping.wto.org/en/Search?viewData= G/TBT/N/KOR/1235"," G/TBT/N/KOR/1235")</f>
      </c>
      <c r="D941" s="8" t="s">
        <v>3669</v>
      </c>
      <c r="E941" s="8" t="s">
        <v>3670</v>
      </c>
      <c r="F941" s="8" t="s">
        <v>3671</v>
      </c>
      <c r="G941" s="8" t="s">
        <v>22</v>
      </c>
      <c r="H941" s="8" t="s">
        <v>3672</v>
      </c>
      <c r="I941" s="8" t="s">
        <v>2422</v>
      </c>
      <c r="J941" s="8" t="s">
        <v>22</v>
      </c>
      <c r="K941" s="6"/>
      <c r="L941" s="7">
        <v>45656</v>
      </c>
      <c r="M941" s="6" t="s">
        <v>32</v>
      </c>
      <c r="N941" s="8" t="s">
        <v>3673</v>
      </c>
      <c r="O941" s="6">
        <f>HYPERLINK("https://docs.wto.org/imrd/directdoc.asp?DDFDocuments/t/G/TBTN24/KOR1235.DOCX", "https://docs.wto.org/imrd/directdoc.asp?DDFDocuments/t/G/TBTN24/KOR1235.DOCX")</f>
      </c>
      <c r="P941" s="6">
        <f>HYPERLINK("https://docs.wto.org/imrd/directdoc.asp?DDFDocuments/u/G/TBTN24/KOR1235.DOCX", "https://docs.wto.org/imrd/directdoc.asp?DDFDocuments/u/G/TBTN24/KOR1235.DOCX")</f>
      </c>
      <c r="Q941" s="6">
        <f>HYPERLINK("https://docs.wto.org/imrd/directdoc.asp?DDFDocuments/v/G/TBTN24/KOR1235.DOCX", "https://docs.wto.org/imrd/directdoc.asp?DDFDocuments/v/G/TBTN24/KOR1235.DOCX")</f>
      </c>
    </row>
    <row r="942">
      <c r="A942" s="6" t="s">
        <v>400</v>
      </c>
      <c r="B942" s="7">
        <v>45596</v>
      </c>
      <c r="C942" s="9">
        <f>HYPERLINK("https://eping.wto.org/en/Search?viewData= G/TBT/N/USA/1730/Add.4"," G/TBT/N/USA/1730/Add.4")</f>
      </c>
      <c r="D942" s="8" t="s">
        <v>3674</v>
      </c>
      <c r="E942" s="8" t="s">
        <v>3675</v>
      </c>
      <c r="F942" s="8" t="s">
        <v>3676</v>
      </c>
      <c r="G942" s="8" t="s">
        <v>22</v>
      </c>
      <c r="H942" s="8" t="s">
        <v>3677</v>
      </c>
      <c r="I942" s="8" t="s">
        <v>39</v>
      </c>
      <c r="J942" s="8" t="s">
        <v>22</v>
      </c>
      <c r="K942" s="6"/>
      <c r="L942" s="7">
        <v>45630</v>
      </c>
      <c r="M942" s="6" t="s">
        <v>40</v>
      </c>
      <c r="N942" s="6"/>
      <c r="O942" s="6">
        <f>HYPERLINK("https://docs.wto.org/imrd/directdoc.asp?DDFDocuments/t/G/TBTN21/USA1730A4.DOCX", "https://docs.wto.org/imrd/directdoc.asp?DDFDocuments/t/G/TBTN21/USA1730A4.DOCX")</f>
      </c>
      <c r="P942" s="6">
        <f>HYPERLINK("https://docs.wto.org/imrd/directdoc.asp?DDFDocuments/u/G/TBTN21/USA1730A4.DOCX", "https://docs.wto.org/imrd/directdoc.asp?DDFDocuments/u/G/TBTN21/USA1730A4.DOCX")</f>
      </c>
      <c r="Q942" s="6">
        <f>HYPERLINK("https://docs.wto.org/imrd/directdoc.asp?DDFDocuments/v/G/TBTN21/USA1730A4.DOCX", "https://docs.wto.org/imrd/directdoc.asp?DDFDocuments/v/G/TBTN21/USA1730A4.DOCX")</f>
      </c>
    </row>
    <row r="943">
      <c r="A943" s="6" t="s">
        <v>82</v>
      </c>
      <c r="B943" s="7">
        <v>45596</v>
      </c>
      <c r="C943" s="9">
        <f>HYPERLINK("https://eping.wto.org/en/Search?viewData= G/TBT/N/BRA/1556/Add.1"," G/TBT/N/BRA/1556/Add.1")</f>
      </c>
      <c r="D943" s="8" t="s">
        <v>3678</v>
      </c>
      <c r="E943" s="8" t="s">
        <v>3679</v>
      </c>
      <c r="F943" s="8" t="s">
        <v>3680</v>
      </c>
      <c r="G943" s="8" t="s">
        <v>188</v>
      </c>
      <c r="H943" s="8" t="s">
        <v>3681</v>
      </c>
      <c r="I943" s="8" t="s">
        <v>3682</v>
      </c>
      <c r="J943" s="8" t="s">
        <v>22</v>
      </c>
      <c r="K943" s="6"/>
      <c r="L943" s="7" t="s">
        <v>22</v>
      </c>
      <c r="M943" s="6" t="s">
        <v>40</v>
      </c>
      <c r="N943" s="8" t="s">
        <v>3683</v>
      </c>
      <c r="O943" s="6">
        <f>HYPERLINK("https://docs.wto.org/imrd/directdoc.asp?DDFDocuments/t/G/TBTN24/BRA1556A1.DOCX", "https://docs.wto.org/imrd/directdoc.asp?DDFDocuments/t/G/TBTN24/BRA1556A1.DOCX")</f>
      </c>
      <c r="P943" s="6">
        <f>HYPERLINK("https://docs.wto.org/imrd/directdoc.asp?DDFDocuments/u/G/TBTN24/BRA1556A1.DOCX", "https://docs.wto.org/imrd/directdoc.asp?DDFDocuments/u/G/TBTN24/BRA1556A1.DOCX")</f>
      </c>
      <c r="Q943" s="6">
        <f>HYPERLINK("https://docs.wto.org/imrd/directdoc.asp?DDFDocuments/v/G/TBTN24/BRA1556A1.DOCX", "https://docs.wto.org/imrd/directdoc.asp?DDFDocuments/v/G/TBTN24/BRA1556A1.DOCX")</f>
      </c>
    </row>
    <row r="944">
      <c r="A944" s="6" t="s">
        <v>123</v>
      </c>
      <c r="B944" s="7">
        <v>45596</v>
      </c>
      <c r="C944" s="9">
        <f>HYPERLINK("https://eping.wto.org/en/Search?viewData= G/TBT/N/ECU/548"," G/TBT/N/ECU/548")</f>
      </c>
      <c r="D944" s="8" t="s">
        <v>3684</v>
      </c>
      <c r="E944" s="8" t="s">
        <v>3685</v>
      </c>
      <c r="F944" s="8" t="s">
        <v>3686</v>
      </c>
      <c r="G944" s="8" t="s">
        <v>3687</v>
      </c>
      <c r="H944" s="8" t="s">
        <v>1509</v>
      </c>
      <c r="I944" s="8" t="s">
        <v>3688</v>
      </c>
      <c r="J944" s="8" t="s">
        <v>22</v>
      </c>
      <c r="K944" s="6"/>
      <c r="L944" s="7" t="s">
        <v>22</v>
      </c>
      <c r="M944" s="6" t="s">
        <v>32</v>
      </c>
      <c r="N944" s="8" t="s">
        <v>3689</v>
      </c>
      <c r="O944" s="6">
        <f>HYPERLINK("https://docs.wto.org/imrd/directdoc.asp?DDFDocuments/t/G/TBTN24/ECU548.DOCX", "https://docs.wto.org/imrd/directdoc.asp?DDFDocuments/t/G/TBTN24/ECU548.DOCX")</f>
      </c>
      <c r="P944" s="6">
        <f>HYPERLINK("https://docs.wto.org/imrd/directdoc.asp?DDFDocuments/u/G/TBTN24/ECU548.DOCX", "https://docs.wto.org/imrd/directdoc.asp?DDFDocuments/u/G/TBTN24/ECU548.DOCX")</f>
      </c>
      <c r="Q944" s="6">
        <f>HYPERLINK("https://docs.wto.org/imrd/directdoc.asp?DDFDocuments/v/G/TBTN24/ECU548.DOCX", "https://docs.wto.org/imrd/directdoc.asp?DDFDocuments/v/G/TBTN24/ECU548.DOCX")</f>
      </c>
    </row>
    <row r="945">
      <c r="A945" s="6" t="s">
        <v>400</v>
      </c>
      <c r="B945" s="7">
        <v>45596</v>
      </c>
      <c r="C945" s="9">
        <f>HYPERLINK("https://eping.wto.org/en/Search?viewData= G/TBT/N/USA/1336/Rev.1/Add.5"," G/TBT/N/USA/1336/Rev.1/Add.5")</f>
      </c>
      <c r="D945" s="8" t="s">
        <v>3690</v>
      </c>
      <c r="E945" s="8" t="s">
        <v>3691</v>
      </c>
      <c r="F945" s="8" t="s">
        <v>3692</v>
      </c>
      <c r="G945" s="8" t="s">
        <v>22</v>
      </c>
      <c r="H945" s="8" t="s">
        <v>3693</v>
      </c>
      <c r="I945" s="8" t="s">
        <v>716</v>
      </c>
      <c r="J945" s="8" t="s">
        <v>22</v>
      </c>
      <c r="K945" s="6"/>
      <c r="L945" s="7" t="s">
        <v>22</v>
      </c>
      <c r="M945" s="6" t="s">
        <v>40</v>
      </c>
      <c r="N945" s="8" t="s">
        <v>3694</v>
      </c>
      <c r="O945" s="6">
        <f>HYPERLINK("https://docs.wto.org/imrd/directdoc.asp?DDFDocuments/t/G/TBTN18/USA1336R1A5.DOCX", "https://docs.wto.org/imrd/directdoc.asp?DDFDocuments/t/G/TBTN18/USA1336R1A5.DOCX")</f>
      </c>
      <c r="P945" s="6">
        <f>HYPERLINK("https://docs.wto.org/imrd/directdoc.asp?DDFDocuments/u/G/TBTN18/USA1336R1A5.DOCX", "https://docs.wto.org/imrd/directdoc.asp?DDFDocuments/u/G/TBTN18/USA1336R1A5.DOCX")</f>
      </c>
      <c r="Q945" s="6">
        <f>HYPERLINK("https://docs.wto.org/imrd/directdoc.asp?DDFDocuments/v/G/TBTN18/USA1336R1A5.DOCX", "https://docs.wto.org/imrd/directdoc.asp?DDFDocuments/v/G/TBTN18/USA1336R1A5.DOCX")</f>
      </c>
    </row>
    <row r="946">
      <c r="A946" s="6" t="s">
        <v>82</v>
      </c>
      <c r="B946" s="7">
        <v>45596</v>
      </c>
      <c r="C946" s="9">
        <f>HYPERLINK("https://eping.wto.org/en/Search?viewData= G/TBT/N/BRA/1574"," G/TBT/N/BRA/1574")</f>
      </c>
      <c r="D946" s="8" t="s">
        <v>3695</v>
      </c>
      <c r="E946" s="8" t="s">
        <v>3696</v>
      </c>
      <c r="F946" s="8" t="s">
        <v>3680</v>
      </c>
      <c r="G946" s="8" t="s">
        <v>3697</v>
      </c>
      <c r="H946" s="8" t="s">
        <v>3698</v>
      </c>
      <c r="I946" s="8" t="s">
        <v>138</v>
      </c>
      <c r="J946" s="8" t="s">
        <v>22</v>
      </c>
      <c r="K946" s="6"/>
      <c r="L946" s="7">
        <v>45655</v>
      </c>
      <c r="M946" s="6" t="s">
        <v>32</v>
      </c>
      <c r="N946" s="8" t="s">
        <v>3699</v>
      </c>
      <c r="O946" s="6">
        <f>HYPERLINK("https://docs.wto.org/imrd/directdoc.asp?DDFDocuments/t/G/TBTN24/BRA1574.DOCX", "https://docs.wto.org/imrd/directdoc.asp?DDFDocuments/t/G/TBTN24/BRA1574.DOCX")</f>
      </c>
      <c r="P946" s="6">
        <f>HYPERLINK("https://docs.wto.org/imrd/directdoc.asp?DDFDocuments/u/G/TBTN24/BRA1574.DOCX", "https://docs.wto.org/imrd/directdoc.asp?DDFDocuments/u/G/TBTN24/BRA1574.DOCX")</f>
      </c>
      <c r="Q946" s="6">
        <f>HYPERLINK("https://docs.wto.org/imrd/directdoc.asp?DDFDocuments/v/G/TBTN24/BRA1574.DOCX", "https://docs.wto.org/imrd/directdoc.asp?DDFDocuments/v/G/TBTN24/BRA1574.DOCX")</f>
      </c>
    </row>
    <row r="947">
      <c r="A947" s="6" t="s">
        <v>3700</v>
      </c>
      <c r="B947" s="7">
        <v>45595</v>
      </c>
      <c r="C947" s="9">
        <f>HYPERLINK("https://eping.wto.org/en/Search?viewData= G/TBT/N/SGP/74"," G/TBT/N/SGP/74")</f>
      </c>
      <c r="D947" s="8" t="s">
        <v>3701</v>
      </c>
      <c r="E947" s="8" t="s">
        <v>3702</v>
      </c>
      <c r="F947" s="8" t="s">
        <v>3703</v>
      </c>
      <c r="G947" s="8" t="s">
        <v>3704</v>
      </c>
      <c r="H947" s="8" t="s">
        <v>1725</v>
      </c>
      <c r="I947" s="8" t="s">
        <v>292</v>
      </c>
      <c r="J947" s="8" t="s">
        <v>22</v>
      </c>
      <c r="K947" s="6"/>
      <c r="L947" s="7">
        <v>45655</v>
      </c>
      <c r="M947" s="6" t="s">
        <v>32</v>
      </c>
      <c r="N947" s="6"/>
      <c r="O947" s="6">
        <f>HYPERLINK("https://docs.wto.org/imrd/directdoc.asp?DDFDocuments/t/G/TBTN24/SGP74.DOCX", "https://docs.wto.org/imrd/directdoc.asp?DDFDocuments/t/G/TBTN24/SGP74.DOCX")</f>
      </c>
      <c r="P947" s="6">
        <f>HYPERLINK("https://docs.wto.org/imrd/directdoc.asp?DDFDocuments/u/G/TBTN24/SGP74.DOCX", "https://docs.wto.org/imrd/directdoc.asp?DDFDocuments/u/G/TBTN24/SGP74.DOCX")</f>
      </c>
      <c r="Q947" s="6">
        <f>HYPERLINK("https://docs.wto.org/imrd/directdoc.asp?DDFDocuments/v/G/TBTN24/SGP74.DOCX", "https://docs.wto.org/imrd/directdoc.asp?DDFDocuments/v/G/TBTN24/SGP74.DOCX")</f>
      </c>
    </row>
    <row r="948">
      <c r="A948" s="6" t="s">
        <v>104</v>
      </c>
      <c r="B948" s="7">
        <v>45595</v>
      </c>
      <c r="C948" s="9">
        <f>HYPERLINK("https://eping.wto.org/en/Search?viewData= G/TBT/N/CHN/1933"," G/TBT/N/CHN/1933")</f>
      </c>
      <c r="D948" s="8" t="s">
        <v>3705</v>
      </c>
      <c r="E948" s="8" t="s">
        <v>3706</v>
      </c>
      <c r="F948" s="8" t="s">
        <v>3707</v>
      </c>
      <c r="G948" s="8" t="s">
        <v>3708</v>
      </c>
      <c r="H948" s="8" t="s">
        <v>3709</v>
      </c>
      <c r="I948" s="8" t="s">
        <v>2475</v>
      </c>
      <c r="J948" s="8" t="s">
        <v>22</v>
      </c>
      <c r="K948" s="6"/>
      <c r="L948" s="7">
        <v>45655</v>
      </c>
      <c r="M948" s="6" t="s">
        <v>32</v>
      </c>
      <c r="N948" s="8" t="s">
        <v>3710</v>
      </c>
      <c r="O948" s="6">
        <f>HYPERLINK("https://docs.wto.org/imrd/directdoc.asp?DDFDocuments/t/G/TBTN24/1933.DOCX", "https://docs.wto.org/imrd/directdoc.asp?DDFDocuments/t/G/TBTN24/1933.DOCX")</f>
      </c>
      <c r="P948" s="6">
        <f>HYPERLINK("https://docs.wto.org/imrd/directdoc.asp?DDFDocuments/u/G/TBTN24/1933.DOCX", "https://docs.wto.org/imrd/directdoc.asp?DDFDocuments/u/G/TBTN24/1933.DOCX")</f>
      </c>
      <c r="Q948" s="6">
        <f>HYPERLINK("https://docs.wto.org/imrd/directdoc.asp?DDFDocuments/v/G/TBTN24/1933.DOCX", "https://docs.wto.org/imrd/directdoc.asp?DDFDocuments/v/G/TBTN24/1933.DOCX")</f>
      </c>
    </row>
    <row r="949">
      <c r="A949" s="6" t="s">
        <v>3255</v>
      </c>
      <c r="B949" s="7">
        <v>45595</v>
      </c>
      <c r="C949" s="9">
        <f>HYPERLINK("https://eping.wto.org/en/Search?viewData= G/TBT/N/ARE/636, G/TBT/N/BHR/721, G/TBT/N/KWT/701, G/TBT/N/OMN/544, G/TBT/N/QAT/695, G/TBT/N/SAU/1365, G/TBT/N/YEM/301"," G/TBT/N/ARE/636, G/TBT/N/BHR/721, G/TBT/N/KWT/701, G/TBT/N/OMN/544, G/TBT/N/QAT/695, G/TBT/N/SAU/1365, G/TBT/N/YEM/301")</f>
      </c>
      <c r="D949" s="8" t="s">
        <v>3711</v>
      </c>
      <c r="E949" s="8" t="s">
        <v>3712</v>
      </c>
      <c r="F949" s="8" t="s">
        <v>2533</v>
      </c>
      <c r="G949" s="8" t="s">
        <v>3713</v>
      </c>
      <c r="H949" s="8" t="s">
        <v>2534</v>
      </c>
      <c r="I949" s="8" t="s">
        <v>286</v>
      </c>
      <c r="J949" s="8" t="s">
        <v>58</v>
      </c>
      <c r="K949" s="6"/>
      <c r="L949" s="7">
        <v>45655</v>
      </c>
      <c r="M949" s="6" t="s">
        <v>32</v>
      </c>
      <c r="N949" s="8" t="s">
        <v>3714</v>
      </c>
      <c r="O949" s="6">
        <f>HYPERLINK("https://docs.wto.org/imrd/directdoc.asp?DDFDocuments/t/G/TBTN24/ARE636.DOCX", "https://docs.wto.org/imrd/directdoc.asp?DDFDocuments/t/G/TBTN24/ARE636.DOCX")</f>
      </c>
      <c r="P949" s="6">
        <f>HYPERLINK("https://docs.wto.org/imrd/directdoc.asp?DDFDocuments/u/G/TBTN24/ARE636.DOCX", "https://docs.wto.org/imrd/directdoc.asp?DDFDocuments/u/G/TBTN24/ARE636.DOCX")</f>
      </c>
      <c r="Q949" s="6">
        <f>HYPERLINK("https://docs.wto.org/imrd/directdoc.asp?DDFDocuments/v/G/TBTN24/ARE636.DOCX", "https://docs.wto.org/imrd/directdoc.asp?DDFDocuments/v/G/TBTN24/ARE636.DOCX")</f>
      </c>
    </row>
    <row r="950">
      <c r="A950" s="6" t="s">
        <v>3255</v>
      </c>
      <c r="B950" s="7">
        <v>45595</v>
      </c>
      <c r="C950" s="9">
        <f>HYPERLINK("https://eping.wto.org/en/Search?viewData= G/TBT/N/ARE/638, G/TBT/N/BHR/723, G/TBT/N/KWT/703, G/TBT/N/OMN/546, G/TBT/N/QAT/697, G/TBT/N/SAU/1367, G/TBT/N/YEM/303"," G/TBT/N/ARE/638, G/TBT/N/BHR/723, G/TBT/N/KWT/703, G/TBT/N/OMN/546, G/TBT/N/QAT/697, G/TBT/N/SAU/1367, G/TBT/N/YEM/303")</f>
      </c>
      <c r="D950" s="8" t="s">
        <v>3715</v>
      </c>
      <c r="E950" s="8" t="s">
        <v>3716</v>
      </c>
      <c r="F950" s="8" t="s">
        <v>3717</v>
      </c>
      <c r="G950" s="8" t="s">
        <v>3718</v>
      </c>
      <c r="H950" s="8" t="s">
        <v>2363</v>
      </c>
      <c r="I950" s="8" t="s">
        <v>286</v>
      </c>
      <c r="J950" s="8" t="s">
        <v>58</v>
      </c>
      <c r="K950" s="6"/>
      <c r="L950" s="7">
        <v>45655</v>
      </c>
      <c r="M950" s="6" t="s">
        <v>32</v>
      </c>
      <c r="N950" s="8" t="s">
        <v>3719</v>
      </c>
      <c r="O950" s="6">
        <f>HYPERLINK("https://docs.wto.org/imrd/directdoc.asp?DDFDocuments/t/G/TBTN24/ARE638.DOCX", "https://docs.wto.org/imrd/directdoc.asp?DDFDocuments/t/G/TBTN24/ARE638.DOCX")</f>
      </c>
      <c r="P950" s="6">
        <f>HYPERLINK("https://docs.wto.org/imrd/directdoc.asp?DDFDocuments/u/G/TBTN24/ARE638.DOCX", "https://docs.wto.org/imrd/directdoc.asp?DDFDocuments/u/G/TBTN24/ARE638.DOCX")</f>
      </c>
      <c r="Q950" s="6">
        <f>HYPERLINK("https://docs.wto.org/imrd/directdoc.asp?DDFDocuments/v/G/TBTN24/ARE638.DOCX", "https://docs.wto.org/imrd/directdoc.asp?DDFDocuments/v/G/TBTN24/ARE638.DOCX")</f>
      </c>
    </row>
    <row r="951">
      <c r="A951" s="6" t="s">
        <v>3272</v>
      </c>
      <c r="B951" s="7">
        <v>45595</v>
      </c>
      <c r="C951" s="9">
        <f>HYPERLINK("https://eping.wto.org/en/Search?viewData= G/TBT/N/ARE/638, G/TBT/N/BHR/723, G/TBT/N/KWT/703, G/TBT/N/OMN/546, G/TBT/N/QAT/697, G/TBT/N/SAU/1367, G/TBT/N/YEM/303"," G/TBT/N/ARE/638, G/TBT/N/BHR/723, G/TBT/N/KWT/703, G/TBT/N/OMN/546, G/TBT/N/QAT/697, G/TBT/N/SAU/1367, G/TBT/N/YEM/303")</f>
      </c>
      <c r="D951" s="8" t="s">
        <v>3715</v>
      </c>
      <c r="E951" s="8" t="s">
        <v>3716</v>
      </c>
      <c r="F951" s="8" t="s">
        <v>3717</v>
      </c>
      <c r="G951" s="8" t="s">
        <v>3718</v>
      </c>
      <c r="H951" s="8" t="s">
        <v>2363</v>
      </c>
      <c r="I951" s="8" t="s">
        <v>286</v>
      </c>
      <c r="J951" s="8" t="s">
        <v>58</v>
      </c>
      <c r="K951" s="6"/>
      <c r="L951" s="7">
        <v>45655</v>
      </c>
      <c r="M951" s="6" t="s">
        <v>32</v>
      </c>
      <c r="N951" s="8" t="s">
        <v>3719</v>
      </c>
      <c r="O951" s="6">
        <f>HYPERLINK("https://docs.wto.org/imrd/directdoc.asp?DDFDocuments/t/G/TBTN24/ARE638.DOCX", "https://docs.wto.org/imrd/directdoc.asp?DDFDocuments/t/G/TBTN24/ARE638.DOCX")</f>
      </c>
      <c r="P951" s="6">
        <f>HYPERLINK("https://docs.wto.org/imrd/directdoc.asp?DDFDocuments/u/G/TBTN24/ARE638.DOCX", "https://docs.wto.org/imrd/directdoc.asp?DDFDocuments/u/G/TBTN24/ARE638.DOCX")</f>
      </c>
      <c r="Q951" s="6">
        <f>HYPERLINK("https://docs.wto.org/imrd/directdoc.asp?DDFDocuments/v/G/TBTN24/ARE638.DOCX", "https://docs.wto.org/imrd/directdoc.asp?DDFDocuments/v/G/TBTN24/ARE638.DOCX")</f>
      </c>
    </row>
    <row r="952">
      <c r="A952" s="6" t="s">
        <v>513</v>
      </c>
      <c r="B952" s="7">
        <v>45595</v>
      </c>
      <c r="C952" s="9">
        <f>HYPERLINK("https://eping.wto.org/en/Search?viewData= G/TBT/N/IND/349"," G/TBT/N/IND/349")</f>
      </c>
      <c r="D952" s="8" t="s">
        <v>3720</v>
      </c>
      <c r="E952" s="8" t="s">
        <v>3721</v>
      </c>
      <c r="F952" s="8" t="s">
        <v>3722</v>
      </c>
      <c r="G952" s="8" t="s">
        <v>22</v>
      </c>
      <c r="H952" s="8" t="s">
        <v>2534</v>
      </c>
      <c r="I952" s="8" t="s">
        <v>138</v>
      </c>
      <c r="J952" s="8" t="s">
        <v>58</v>
      </c>
      <c r="K952" s="6"/>
      <c r="L952" s="7">
        <v>45655</v>
      </c>
      <c r="M952" s="6" t="s">
        <v>32</v>
      </c>
      <c r="N952" s="8" t="s">
        <v>3723</v>
      </c>
      <c r="O952" s="6">
        <f>HYPERLINK("https://docs.wto.org/imrd/directdoc.asp?DDFDocuments/t/G/TBTN24/IND349.DOCX", "https://docs.wto.org/imrd/directdoc.asp?DDFDocuments/t/G/TBTN24/IND349.DOCX")</f>
      </c>
      <c r="P952" s="6">
        <f>HYPERLINK("https://docs.wto.org/imrd/directdoc.asp?DDFDocuments/u/G/TBTN24/IND349.DOCX", "https://docs.wto.org/imrd/directdoc.asp?DDFDocuments/u/G/TBTN24/IND349.DOCX")</f>
      </c>
      <c r="Q952" s="6">
        <f>HYPERLINK("https://docs.wto.org/imrd/directdoc.asp?DDFDocuments/v/G/TBTN24/IND349.DOCX", "https://docs.wto.org/imrd/directdoc.asp?DDFDocuments/v/G/TBTN24/IND349.DOCX")</f>
      </c>
    </row>
    <row r="953">
      <c r="A953" s="6" t="s">
        <v>1443</v>
      </c>
      <c r="B953" s="7">
        <v>45595</v>
      </c>
      <c r="C953" s="9">
        <f>HYPERLINK("https://eping.wto.org/en/Search?viewData= G/TBT/N/IDN/19/Add.11"," G/TBT/N/IDN/19/Add.11")</f>
      </c>
      <c r="D953" s="8" t="s">
        <v>3724</v>
      </c>
      <c r="E953" s="8" t="s">
        <v>3725</v>
      </c>
      <c r="F953" s="8" t="s">
        <v>3726</v>
      </c>
      <c r="G953" s="8" t="s">
        <v>3727</v>
      </c>
      <c r="H953" s="8" t="s">
        <v>3728</v>
      </c>
      <c r="I953" s="8" t="s">
        <v>22</v>
      </c>
      <c r="J953" s="8" t="s">
        <v>22</v>
      </c>
      <c r="K953" s="6"/>
      <c r="L953" s="7" t="s">
        <v>22</v>
      </c>
      <c r="M953" s="6" t="s">
        <v>40</v>
      </c>
      <c r="N953" s="8" t="s">
        <v>3729</v>
      </c>
      <c r="O953" s="6">
        <f>HYPERLINK("https://docs.wto.org/imrd/directdoc.asp?DDFDocuments/t/G/TBTN08/IDN19A11.DOCX", "https://docs.wto.org/imrd/directdoc.asp?DDFDocuments/t/G/TBTN08/IDN19A11.DOCX")</f>
      </c>
      <c r="P953" s="6">
        <f>HYPERLINK("https://docs.wto.org/imrd/directdoc.asp?DDFDocuments/u/G/TBTN08/IDN19A11.DOCX", "https://docs.wto.org/imrd/directdoc.asp?DDFDocuments/u/G/TBTN08/IDN19A11.DOCX")</f>
      </c>
      <c r="Q953" s="6">
        <f>HYPERLINK("https://docs.wto.org/imrd/directdoc.asp?DDFDocuments/v/G/TBTN08/IDN19A11.DOCX", "https://docs.wto.org/imrd/directdoc.asp?DDFDocuments/v/G/TBTN08/IDN19A11.DOCX")</f>
      </c>
    </row>
    <row r="954">
      <c r="A954" s="6" t="s">
        <v>3255</v>
      </c>
      <c r="B954" s="7">
        <v>45595</v>
      </c>
      <c r="C954" s="9">
        <f>HYPERLINK("https://eping.wto.org/en/Search?viewData= G/SPS/N/KWT/159"," G/SPS/N/KWT/159")</f>
      </c>
      <c r="D954" s="8" t="s">
        <v>3730</v>
      </c>
      <c r="E954" s="8" t="s">
        <v>3731</v>
      </c>
      <c r="F954" s="8" t="s">
        <v>3732</v>
      </c>
      <c r="G954" s="8" t="s">
        <v>3733</v>
      </c>
      <c r="H954" s="8" t="s">
        <v>57</v>
      </c>
      <c r="I954" s="8" t="s">
        <v>371</v>
      </c>
      <c r="J954" s="8" t="s">
        <v>3734</v>
      </c>
      <c r="K954" s="6" t="s">
        <v>3735</v>
      </c>
      <c r="L954" s="7" t="s">
        <v>22</v>
      </c>
      <c r="M954" s="6" t="s">
        <v>331</v>
      </c>
      <c r="N954" s="8" t="s">
        <v>3736</v>
      </c>
      <c r="O954" s="6">
        <f>HYPERLINK("https://docs.wto.org/imrd/directdoc.asp?DDFDocuments/t/G/SPS/NKWT159.DOCX", "https://docs.wto.org/imrd/directdoc.asp?DDFDocuments/t/G/SPS/NKWT159.DOCX")</f>
      </c>
      <c r="P954" s="6">
        <f>HYPERLINK("https://docs.wto.org/imrd/directdoc.asp?DDFDocuments/u/G/SPS/NKWT159.DOCX", "https://docs.wto.org/imrd/directdoc.asp?DDFDocuments/u/G/SPS/NKWT159.DOCX")</f>
      </c>
      <c r="Q954" s="6">
        <f>HYPERLINK("https://docs.wto.org/imrd/directdoc.asp?DDFDocuments/v/G/SPS/NKWT159.DOCX", "https://docs.wto.org/imrd/directdoc.asp?DDFDocuments/v/G/SPS/NKWT159.DOCX")</f>
      </c>
    </row>
    <row r="955">
      <c r="A955" s="6" t="s">
        <v>170</v>
      </c>
      <c r="B955" s="7">
        <v>45595</v>
      </c>
      <c r="C955" s="9">
        <f>HYPERLINK("https://eping.wto.org/en/Search?viewData= G/TBT/N/ARE/639, G/TBT/N/BHR/724, G/TBT/N/KWT/704, G/TBT/N/OMN/547, G/TBT/N/QAT/698, G/TBT/N/SAU/1368, G/TBT/N/YEM/304"," G/TBT/N/ARE/639, G/TBT/N/BHR/724, G/TBT/N/KWT/704, G/TBT/N/OMN/547, G/TBT/N/QAT/698, G/TBT/N/SAU/1368, G/TBT/N/YEM/304")</f>
      </c>
      <c r="D955" s="8" t="s">
        <v>3220</v>
      </c>
      <c r="E955" s="8" t="s">
        <v>3737</v>
      </c>
      <c r="F955" s="8" t="s">
        <v>3222</v>
      </c>
      <c r="G955" s="8" t="s">
        <v>3738</v>
      </c>
      <c r="H955" s="8" t="s">
        <v>3739</v>
      </c>
      <c r="I955" s="8" t="s">
        <v>286</v>
      </c>
      <c r="J955" s="8" t="s">
        <v>58</v>
      </c>
      <c r="K955" s="6"/>
      <c r="L955" s="7">
        <v>45655</v>
      </c>
      <c r="M955" s="6" t="s">
        <v>32</v>
      </c>
      <c r="N955" s="8" t="s">
        <v>3740</v>
      </c>
      <c r="O955" s="6">
        <f>HYPERLINK("https://docs.wto.org/imrd/directdoc.asp?DDFDocuments/t/G/TBTN24/ARE639.DOCX", "https://docs.wto.org/imrd/directdoc.asp?DDFDocuments/t/G/TBTN24/ARE639.DOCX")</f>
      </c>
      <c r="P955" s="6">
        <f>HYPERLINK("https://docs.wto.org/imrd/directdoc.asp?DDFDocuments/u/G/TBTN24/ARE639.DOCX", "https://docs.wto.org/imrd/directdoc.asp?DDFDocuments/u/G/TBTN24/ARE639.DOCX")</f>
      </c>
      <c r="Q955" s="6">
        <f>HYPERLINK("https://docs.wto.org/imrd/directdoc.asp?DDFDocuments/v/G/TBTN24/ARE639.DOCX", "https://docs.wto.org/imrd/directdoc.asp?DDFDocuments/v/G/TBTN24/ARE639.DOCX")</f>
      </c>
    </row>
    <row r="956">
      <c r="A956" s="6" t="s">
        <v>333</v>
      </c>
      <c r="B956" s="7">
        <v>45595</v>
      </c>
      <c r="C956" s="9">
        <f>HYPERLINK("https://eping.wto.org/en/Search?viewData= G/TBT/N/AUS/177"," G/TBT/N/AUS/177")</f>
      </c>
      <c r="D956" s="8" t="s">
        <v>3741</v>
      </c>
      <c r="E956" s="8" t="s">
        <v>3742</v>
      </c>
      <c r="F956" s="8" t="s">
        <v>3743</v>
      </c>
      <c r="G956" s="8" t="s">
        <v>22</v>
      </c>
      <c r="H956" s="8" t="s">
        <v>22</v>
      </c>
      <c r="I956" s="8" t="s">
        <v>3744</v>
      </c>
      <c r="J956" s="8" t="s">
        <v>139</v>
      </c>
      <c r="K956" s="6"/>
      <c r="L956" s="7">
        <v>45648</v>
      </c>
      <c r="M956" s="6" t="s">
        <v>32</v>
      </c>
      <c r="N956" s="8" t="s">
        <v>3745</v>
      </c>
      <c r="O956" s="6">
        <f>HYPERLINK("https://docs.wto.org/imrd/directdoc.asp?DDFDocuments/t/G/TBTN24/AUS177.DOCX", "https://docs.wto.org/imrd/directdoc.asp?DDFDocuments/t/G/TBTN24/AUS177.DOCX")</f>
      </c>
      <c r="P956" s="6">
        <f>HYPERLINK("https://docs.wto.org/imrd/directdoc.asp?DDFDocuments/u/G/TBTN24/AUS177.DOCX", "https://docs.wto.org/imrd/directdoc.asp?DDFDocuments/u/G/TBTN24/AUS177.DOCX")</f>
      </c>
      <c r="Q956" s="6">
        <f>HYPERLINK("https://docs.wto.org/imrd/directdoc.asp?DDFDocuments/v/G/TBTN24/AUS177.DOCX", "https://docs.wto.org/imrd/directdoc.asp?DDFDocuments/v/G/TBTN24/AUS177.DOCX")</f>
      </c>
    </row>
    <row r="957">
      <c r="A957" s="6" t="s">
        <v>3255</v>
      </c>
      <c r="B957" s="7">
        <v>45595</v>
      </c>
      <c r="C957" s="9">
        <f>HYPERLINK("https://eping.wto.org/en/Search?viewData= G/TBT/N/ARE/635, G/TBT/N/BHR/720, G/TBT/N/KWT/700, G/TBT/N/OMN/543, G/TBT/N/QAT/694, G/TBT/N/SAU/1364, G/TBT/N/YEM/300"," G/TBT/N/ARE/635, G/TBT/N/BHR/720, G/TBT/N/KWT/700, G/TBT/N/OMN/543, G/TBT/N/QAT/694, G/TBT/N/SAU/1364, G/TBT/N/YEM/300")</f>
      </c>
      <c r="D957" s="8" t="s">
        <v>3746</v>
      </c>
      <c r="E957" s="8" t="s">
        <v>3747</v>
      </c>
      <c r="F957" s="8" t="s">
        <v>2533</v>
      </c>
      <c r="G957" s="8" t="s">
        <v>3748</v>
      </c>
      <c r="H957" s="8" t="s">
        <v>2534</v>
      </c>
      <c r="I957" s="8" t="s">
        <v>286</v>
      </c>
      <c r="J957" s="8" t="s">
        <v>58</v>
      </c>
      <c r="K957" s="6"/>
      <c r="L957" s="7">
        <v>45655</v>
      </c>
      <c r="M957" s="6" t="s">
        <v>32</v>
      </c>
      <c r="N957" s="8" t="s">
        <v>3749</v>
      </c>
      <c r="O957" s="6">
        <f>HYPERLINK("https://docs.wto.org/imrd/directdoc.asp?DDFDocuments/t/G/TBTN24/ARE635.DOCX", "https://docs.wto.org/imrd/directdoc.asp?DDFDocuments/t/G/TBTN24/ARE635.DOCX")</f>
      </c>
      <c r="P957" s="6">
        <f>HYPERLINK("https://docs.wto.org/imrd/directdoc.asp?DDFDocuments/u/G/TBTN24/ARE635.DOCX", "https://docs.wto.org/imrd/directdoc.asp?DDFDocuments/u/G/TBTN24/ARE635.DOCX")</f>
      </c>
      <c r="Q957" s="6">
        <f>HYPERLINK("https://docs.wto.org/imrd/directdoc.asp?DDFDocuments/v/G/TBTN24/ARE635.DOCX", "https://docs.wto.org/imrd/directdoc.asp?DDFDocuments/v/G/TBTN24/ARE635.DOCX")</f>
      </c>
    </row>
    <row r="958">
      <c r="A958" s="6" t="s">
        <v>513</v>
      </c>
      <c r="B958" s="7">
        <v>45595</v>
      </c>
      <c r="C958" s="9">
        <f>HYPERLINK("https://eping.wto.org/en/Search?viewData= G/TBT/N/IND/350"," G/TBT/N/IND/350")</f>
      </c>
      <c r="D958" s="8" t="s">
        <v>3339</v>
      </c>
      <c r="E958" s="8" t="s">
        <v>3750</v>
      </c>
      <c r="F958" s="8" t="s">
        <v>3722</v>
      </c>
      <c r="G958" s="8" t="s">
        <v>22</v>
      </c>
      <c r="H958" s="8" t="s">
        <v>115</v>
      </c>
      <c r="I958" s="8" t="s">
        <v>138</v>
      </c>
      <c r="J958" s="8" t="s">
        <v>58</v>
      </c>
      <c r="K958" s="6"/>
      <c r="L958" s="7">
        <v>45655</v>
      </c>
      <c r="M958" s="6" t="s">
        <v>32</v>
      </c>
      <c r="N958" s="8" t="s">
        <v>3751</v>
      </c>
      <c r="O958" s="6">
        <f>HYPERLINK("https://docs.wto.org/imrd/directdoc.asp?DDFDocuments/t/G/TBTN24/IND350.DOCX", "https://docs.wto.org/imrd/directdoc.asp?DDFDocuments/t/G/TBTN24/IND350.DOCX")</f>
      </c>
      <c r="P958" s="6">
        <f>HYPERLINK("https://docs.wto.org/imrd/directdoc.asp?DDFDocuments/u/G/TBTN24/IND350.DOCX", "https://docs.wto.org/imrd/directdoc.asp?DDFDocuments/u/G/TBTN24/IND350.DOCX")</f>
      </c>
      <c r="Q958" s="6">
        <f>HYPERLINK("https://docs.wto.org/imrd/directdoc.asp?DDFDocuments/v/G/TBTN24/IND350.DOCX", "https://docs.wto.org/imrd/directdoc.asp?DDFDocuments/v/G/TBTN24/IND350.DOCX")</f>
      </c>
    </row>
    <row r="959">
      <c r="A959" s="6" t="s">
        <v>3271</v>
      </c>
      <c r="B959" s="7">
        <v>45595</v>
      </c>
      <c r="C959" s="9">
        <f>HYPERLINK("https://eping.wto.org/en/Search?viewData= G/TBT/N/ARE/639, G/TBT/N/BHR/724, G/TBT/N/KWT/704, G/TBT/N/OMN/547, G/TBT/N/QAT/698, G/TBT/N/SAU/1368, G/TBT/N/YEM/304"," G/TBT/N/ARE/639, G/TBT/N/BHR/724, G/TBT/N/KWT/704, G/TBT/N/OMN/547, G/TBT/N/QAT/698, G/TBT/N/SAU/1368, G/TBT/N/YEM/304")</f>
      </c>
      <c r="D959" s="8" t="s">
        <v>3220</v>
      </c>
      <c r="E959" s="8" t="s">
        <v>3737</v>
      </c>
      <c r="F959" s="8" t="s">
        <v>3222</v>
      </c>
      <c r="G959" s="8" t="s">
        <v>3738</v>
      </c>
      <c r="H959" s="8" t="s">
        <v>3739</v>
      </c>
      <c r="I959" s="8" t="s">
        <v>286</v>
      </c>
      <c r="J959" s="8" t="s">
        <v>58</v>
      </c>
      <c r="K959" s="6"/>
      <c r="L959" s="7">
        <v>45655</v>
      </c>
      <c r="M959" s="6" t="s">
        <v>32</v>
      </c>
      <c r="N959" s="8" t="s">
        <v>3740</v>
      </c>
      <c r="O959" s="6">
        <f>HYPERLINK("https://docs.wto.org/imrd/directdoc.asp?DDFDocuments/t/G/TBTN24/ARE639.DOCX", "https://docs.wto.org/imrd/directdoc.asp?DDFDocuments/t/G/TBTN24/ARE639.DOCX")</f>
      </c>
      <c r="P959" s="6">
        <f>HYPERLINK("https://docs.wto.org/imrd/directdoc.asp?DDFDocuments/u/G/TBTN24/ARE639.DOCX", "https://docs.wto.org/imrd/directdoc.asp?DDFDocuments/u/G/TBTN24/ARE639.DOCX")</f>
      </c>
      <c r="Q959" s="6">
        <f>HYPERLINK("https://docs.wto.org/imrd/directdoc.asp?DDFDocuments/v/G/TBTN24/ARE639.DOCX", "https://docs.wto.org/imrd/directdoc.asp?DDFDocuments/v/G/TBTN24/ARE639.DOCX")</f>
      </c>
    </row>
    <row r="960">
      <c r="A960" s="6" t="s">
        <v>333</v>
      </c>
      <c r="B960" s="7">
        <v>45595</v>
      </c>
      <c r="C960" s="9">
        <f>HYPERLINK("https://eping.wto.org/en/Search?viewData= G/TBT/N/AUS/156/Add.1"," G/TBT/N/AUS/156/Add.1")</f>
      </c>
      <c r="D960" s="8" t="s">
        <v>3752</v>
      </c>
      <c r="E960" s="8" t="s">
        <v>3753</v>
      </c>
      <c r="F960" s="8" t="s">
        <v>3505</v>
      </c>
      <c r="G960" s="8" t="s">
        <v>3506</v>
      </c>
      <c r="H960" s="8" t="s">
        <v>741</v>
      </c>
      <c r="I960" s="8" t="s">
        <v>39</v>
      </c>
      <c r="J960" s="8" t="s">
        <v>266</v>
      </c>
      <c r="K960" s="6"/>
      <c r="L960" s="7" t="s">
        <v>22</v>
      </c>
      <c r="M960" s="6" t="s">
        <v>40</v>
      </c>
      <c r="N960" s="8" t="s">
        <v>3754</v>
      </c>
      <c r="O960" s="6">
        <f>HYPERLINK("https://docs.wto.org/imrd/directdoc.asp?DDFDocuments/t/G/TBTN23/AUS156A1.DOCX", "https://docs.wto.org/imrd/directdoc.asp?DDFDocuments/t/G/TBTN23/AUS156A1.DOCX")</f>
      </c>
      <c r="P960" s="6">
        <f>HYPERLINK("https://docs.wto.org/imrd/directdoc.asp?DDFDocuments/u/G/TBTN23/AUS156A1.DOCX", "https://docs.wto.org/imrd/directdoc.asp?DDFDocuments/u/G/TBTN23/AUS156A1.DOCX")</f>
      </c>
      <c r="Q960" s="6">
        <f>HYPERLINK("https://docs.wto.org/imrd/directdoc.asp?DDFDocuments/v/G/TBTN23/AUS156A1.DOCX", "https://docs.wto.org/imrd/directdoc.asp?DDFDocuments/v/G/TBTN23/AUS156A1.DOCX")</f>
      </c>
    </row>
    <row r="961">
      <c r="A961" s="6" t="s">
        <v>3255</v>
      </c>
      <c r="B961" s="7">
        <v>45595</v>
      </c>
      <c r="C961" s="9">
        <f>HYPERLINK("https://eping.wto.org/en/Search?viewData= G/SPS/N/KWT/157"," G/SPS/N/KWT/157")</f>
      </c>
      <c r="D961" s="8" t="s">
        <v>3755</v>
      </c>
      <c r="E961" s="8" t="s">
        <v>3756</v>
      </c>
      <c r="F961" s="8" t="s">
        <v>3757</v>
      </c>
      <c r="G961" s="8" t="s">
        <v>347</v>
      </c>
      <c r="H961" s="8" t="s">
        <v>3758</v>
      </c>
      <c r="I961" s="8" t="s">
        <v>371</v>
      </c>
      <c r="J961" s="8" t="s">
        <v>3759</v>
      </c>
      <c r="K961" s="6" t="s">
        <v>330</v>
      </c>
      <c r="L961" s="7" t="s">
        <v>22</v>
      </c>
      <c r="M961" s="6" t="s">
        <v>331</v>
      </c>
      <c r="N961" s="8" t="s">
        <v>3760</v>
      </c>
      <c r="O961" s="6">
        <f>HYPERLINK("https://docs.wto.org/imrd/directdoc.asp?DDFDocuments/t/G/SPS/NKWT157.DOCX", "https://docs.wto.org/imrd/directdoc.asp?DDFDocuments/t/G/SPS/NKWT157.DOCX")</f>
      </c>
      <c r="P961" s="6">
        <f>HYPERLINK("https://docs.wto.org/imrd/directdoc.asp?DDFDocuments/u/G/SPS/NKWT157.DOCX", "https://docs.wto.org/imrd/directdoc.asp?DDFDocuments/u/G/SPS/NKWT157.DOCX")</f>
      </c>
      <c r="Q961" s="6">
        <f>HYPERLINK("https://docs.wto.org/imrd/directdoc.asp?DDFDocuments/v/G/SPS/NKWT157.DOCX", "https://docs.wto.org/imrd/directdoc.asp?DDFDocuments/v/G/SPS/NKWT157.DOCX")</f>
      </c>
    </row>
    <row r="962">
      <c r="A962" s="6" t="s">
        <v>3255</v>
      </c>
      <c r="B962" s="7">
        <v>45595</v>
      </c>
      <c r="C962" s="9">
        <f>HYPERLINK("https://eping.wto.org/en/Search?viewData= G/SPS/N/KWT/158"," G/SPS/N/KWT/158")</f>
      </c>
      <c r="D962" s="8" t="s">
        <v>3761</v>
      </c>
      <c r="E962" s="8" t="s">
        <v>3762</v>
      </c>
      <c r="F962" s="8" t="s">
        <v>3763</v>
      </c>
      <c r="G962" s="8" t="s">
        <v>1952</v>
      </c>
      <c r="H962" s="8" t="s">
        <v>3764</v>
      </c>
      <c r="I962" s="8" t="s">
        <v>371</v>
      </c>
      <c r="J962" s="8" t="s">
        <v>337</v>
      </c>
      <c r="K962" s="6" t="s">
        <v>299</v>
      </c>
      <c r="L962" s="7" t="s">
        <v>22</v>
      </c>
      <c r="M962" s="6" t="s">
        <v>331</v>
      </c>
      <c r="N962" s="8" t="s">
        <v>3765</v>
      </c>
      <c r="O962" s="6">
        <f>HYPERLINK("https://docs.wto.org/imrd/directdoc.asp?DDFDocuments/t/G/SPS/NKWT158.DOCX", "https://docs.wto.org/imrd/directdoc.asp?DDFDocuments/t/G/SPS/NKWT158.DOCX")</f>
      </c>
      <c r="P962" s="6">
        <f>HYPERLINK("https://docs.wto.org/imrd/directdoc.asp?DDFDocuments/u/G/SPS/NKWT158.DOCX", "https://docs.wto.org/imrd/directdoc.asp?DDFDocuments/u/G/SPS/NKWT158.DOCX")</f>
      </c>
      <c r="Q962" s="6">
        <f>HYPERLINK("https://docs.wto.org/imrd/directdoc.asp?DDFDocuments/v/G/SPS/NKWT158.DOCX", "https://docs.wto.org/imrd/directdoc.asp?DDFDocuments/v/G/SPS/NKWT158.DOCX")</f>
      </c>
    </row>
    <row r="963">
      <c r="A963" s="6" t="s">
        <v>3272</v>
      </c>
      <c r="B963" s="7">
        <v>45595</v>
      </c>
      <c r="C963" s="9">
        <f>HYPERLINK("https://eping.wto.org/en/Search?viewData= G/TBT/N/ARE/636, G/TBT/N/BHR/721, G/TBT/N/KWT/701, G/TBT/N/OMN/544, G/TBT/N/QAT/695, G/TBT/N/SAU/1365, G/TBT/N/YEM/301"," G/TBT/N/ARE/636, G/TBT/N/BHR/721, G/TBT/N/KWT/701, G/TBT/N/OMN/544, G/TBT/N/QAT/695, G/TBT/N/SAU/1365, G/TBT/N/YEM/301")</f>
      </c>
      <c r="D963" s="8" t="s">
        <v>3711</v>
      </c>
      <c r="E963" s="8" t="s">
        <v>3712</v>
      </c>
      <c r="F963" s="8" t="s">
        <v>2533</v>
      </c>
      <c r="G963" s="8" t="s">
        <v>3713</v>
      </c>
      <c r="H963" s="8" t="s">
        <v>2534</v>
      </c>
      <c r="I963" s="8" t="s">
        <v>286</v>
      </c>
      <c r="J963" s="8" t="s">
        <v>58</v>
      </c>
      <c r="K963" s="6"/>
      <c r="L963" s="7">
        <v>45655</v>
      </c>
      <c r="M963" s="6" t="s">
        <v>32</v>
      </c>
      <c r="N963" s="8" t="s">
        <v>3714</v>
      </c>
      <c r="O963" s="6">
        <f>HYPERLINK("https://docs.wto.org/imrd/directdoc.asp?DDFDocuments/t/G/TBTN24/ARE636.DOCX", "https://docs.wto.org/imrd/directdoc.asp?DDFDocuments/t/G/TBTN24/ARE636.DOCX")</f>
      </c>
      <c r="P963" s="6">
        <f>HYPERLINK("https://docs.wto.org/imrd/directdoc.asp?DDFDocuments/u/G/TBTN24/ARE636.DOCX", "https://docs.wto.org/imrd/directdoc.asp?DDFDocuments/u/G/TBTN24/ARE636.DOCX")</f>
      </c>
      <c r="Q963" s="6">
        <f>HYPERLINK("https://docs.wto.org/imrd/directdoc.asp?DDFDocuments/v/G/TBTN24/ARE636.DOCX", "https://docs.wto.org/imrd/directdoc.asp?DDFDocuments/v/G/TBTN24/ARE636.DOCX")</f>
      </c>
    </row>
    <row r="964">
      <c r="A964" s="6" t="s">
        <v>976</v>
      </c>
      <c r="B964" s="7">
        <v>45595</v>
      </c>
      <c r="C964" s="9">
        <f>HYPERLINK("https://eping.wto.org/en/Search?viewData= G/TBT/N/ARE/639, G/TBT/N/BHR/724, G/TBT/N/KWT/704, G/TBT/N/OMN/547, G/TBT/N/QAT/698, G/TBT/N/SAU/1368, G/TBT/N/YEM/304"," G/TBT/N/ARE/639, G/TBT/N/BHR/724, G/TBT/N/KWT/704, G/TBT/N/OMN/547, G/TBT/N/QAT/698, G/TBT/N/SAU/1368, G/TBT/N/YEM/304")</f>
      </c>
      <c r="D964" s="8" t="s">
        <v>3220</v>
      </c>
      <c r="E964" s="8" t="s">
        <v>3737</v>
      </c>
      <c r="F964" s="8" t="s">
        <v>3222</v>
      </c>
      <c r="G964" s="8" t="s">
        <v>3738</v>
      </c>
      <c r="H964" s="8" t="s">
        <v>3739</v>
      </c>
      <c r="I964" s="8" t="s">
        <v>286</v>
      </c>
      <c r="J964" s="8" t="s">
        <v>58</v>
      </c>
      <c r="K964" s="6"/>
      <c r="L964" s="7">
        <v>45655</v>
      </c>
      <c r="M964" s="6" t="s">
        <v>32</v>
      </c>
      <c r="N964" s="8" t="s">
        <v>3740</v>
      </c>
      <c r="O964" s="6">
        <f>HYPERLINK("https://docs.wto.org/imrd/directdoc.asp?DDFDocuments/t/G/TBTN24/ARE639.DOCX", "https://docs.wto.org/imrd/directdoc.asp?DDFDocuments/t/G/TBTN24/ARE639.DOCX")</f>
      </c>
      <c r="P964" s="6">
        <f>HYPERLINK("https://docs.wto.org/imrd/directdoc.asp?DDFDocuments/u/G/TBTN24/ARE639.DOCX", "https://docs.wto.org/imrd/directdoc.asp?DDFDocuments/u/G/TBTN24/ARE639.DOCX")</f>
      </c>
      <c r="Q964" s="6">
        <f>HYPERLINK("https://docs.wto.org/imrd/directdoc.asp?DDFDocuments/v/G/TBTN24/ARE639.DOCX", "https://docs.wto.org/imrd/directdoc.asp?DDFDocuments/v/G/TBTN24/ARE639.DOCX")</f>
      </c>
    </row>
    <row r="965">
      <c r="A965" s="6" t="s">
        <v>1982</v>
      </c>
      <c r="B965" s="7">
        <v>45595</v>
      </c>
      <c r="C965" s="9">
        <f>HYPERLINK("https://eping.wto.org/en/Search?viewData= G/TBT/N/ARE/639, G/TBT/N/BHR/724, G/TBT/N/KWT/704, G/TBT/N/OMN/547, G/TBT/N/QAT/698, G/TBT/N/SAU/1368, G/TBT/N/YEM/304"," G/TBT/N/ARE/639, G/TBT/N/BHR/724, G/TBT/N/KWT/704, G/TBT/N/OMN/547, G/TBT/N/QAT/698, G/TBT/N/SAU/1368, G/TBT/N/YEM/304")</f>
      </c>
      <c r="D965" s="8" t="s">
        <v>3220</v>
      </c>
      <c r="E965" s="8" t="s">
        <v>3737</v>
      </c>
      <c r="F965" s="8" t="s">
        <v>3222</v>
      </c>
      <c r="G965" s="8" t="s">
        <v>3738</v>
      </c>
      <c r="H965" s="8" t="s">
        <v>3739</v>
      </c>
      <c r="I965" s="8" t="s">
        <v>286</v>
      </c>
      <c r="J965" s="8" t="s">
        <v>58</v>
      </c>
      <c r="K965" s="6"/>
      <c r="L965" s="7">
        <v>45655</v>
      </c>
      <c r="M965" s="6" t="s">
        <v>32</v>
      </c>
      <c r="N965" s="8" t="s">
        <v>3740</v>
      </c>
      <c r="O965" s="6">
        <f>HYPERLINK("https://docs.wto.org/imrd/directdoc.asp?DDFDocuments/t/G/TBTN24/ARE639.DOCX", "https://docs.wto.org/imrd/directdoc.asp?DDFDocuments/t/G/TBTN24/ARE639.DOCX")</f>
      </c>
      <c r="P965" s="6">
        <f>HYPERLINK("https://docs.wto.org/imrd/directdoc.asp?DDFDocuments/u/G/TBTN24/ARE639.DOCX", "https://docs.wto.org/imrd/directdoc.asp?DDFDocuments/u/G/TBTN24/ARE639.DOCX")</f>
      </c>
      <c r="Q965" s="6">
        <f>HYPERLINK("https://docs.wto.org/imrd/directdoc.asp?DDFDocuments/v/G/TBTN24/ARE639.DOCX", "https://docs.wto.org/imrd/directdoc.asp?DDFDocuments/v/G/TBTN24/ARE639.DOCX")</f>
      </c>
    </row>
    <row r="966">
      <c r="A966" s="6" t="s">
        <v>3272</v>
      </c>
      <c r="B966" s="7">
        <v>45595</v>
      </c>
      <c r="C966" s="9">
        <f>HYPERLINK("https://eping.wto.org/en/Search?viewData= G/TBT/N/ARE/639, G/TBT/N/BHR/724, G/TBT/N/KWT/704, G/TBT/N/OMN/547, G/TBT/N/QAT/698, G/TBT/N/SAU/1368, G/TBT/N/YEM/304"," G/TBT/N/ARE/639, G/TBT/N/BHR/724, G/TBT/N/KWT/704, G/TBT/N/OMN/547, G/TBT/N/QAT/698, G/TBT/N/SAU/1368, G/TBT/N/YEM/304")</f>
      </c>
      <c r="D966" s="8" t="s">
        <v>3220</v>
      </c>
      <c r="E966" s="8" t="s">
        <v>3737</v>
      </c>
      <c r="F966" s="8" t="s">
        <v>3222</v>
      </c>
      <c r="G966" s="8" t="s">
        <v>3738</v>
      </c>
      <c r="H966" s="8" t="s">
        <v>3739</v>
      </c>
      <c r="I966" s="8" t="s">
        <v>286</v>
      </c>
      <c r="J966" s="8" t="s">
        <v>58</v>
      </c>
      <c r="K966" s="6"/>
      <c r="L966" s="7">
        <v>45655</v>
      </c>
      <c r="M966" s="6" t="s">
        <v>32</v>
      </c>
      <c r="N966" s="8" t="s">
        <v>3740</v>
      </c>
      <c r="O966" s="6">
        <f>HYPERLINK("https://docs.wto.org/imrd/directdoc.asp?DDFDocuments/t/G/TBTN24/ARE639.DOCX", "https://docs.wto.org/imrd/directdoc.asp?DDFDocuments/t/G/TBTN24/ARE639.DOCX")</f>
      </c>
      <c r="P966" s="6">
        <f>HYPERLINK("https://docs.wto.org/imrd/directdoc.asp?DDFDocuments/u/G/TBTN24/ARE639.DOCX", "https://docs.wto.org/imrd/directdoc.asp?DDFDocuments/u/G/TBTN24/ARE639.DOCX")</f>
      </c>
      <c r="Q966" s="6">
        <f>HYPERLINK("https://docs.wto.org/imrd/directdoc.asp?DDFDocuments/v/G/TBTN24/ARE639.DOCX", "https://docs.wto.org/imrd/directdoc.asp?DDFDocuments/v/G/TBTN24/ARE639.DOCX")</f>
      </c>
    </row>
    <row r="967">
      <c r="A967" s="6" t="s">
        <v>3255</v>
      </c>
      <c r="B967" s="7">
        <v>45595</v>
      </c>
      <c r="C967" s="9">
        <f>HYPERLINK("https://eping.wto.org/en/Search?viewData= G/SPS/N/KWT/156"," G/SPS/N/KWT/156")</f>
      </c>
      <c r="D967" s="8" t="s">
        <v>3766</v>
      </c>
      <c r="E967" s="8" t="s">
        <v>3767</v>
      </c>
      <c r="F967" s="8" t="s">
        <v>3757</v>
      </c>
      <c r="G967" s="8" t="s">
        <v>347</v>
      </c>
      <c r="H967" s="8" t="s">
        <v>3758</v>
      </c>
      <c r="I967" s="8" t="s">
        <v>371</v>
      </c>
      <c r="J967" s="8" t="s">
        <v>337</v>
      </c>
      <c r="K967" s="6" t="s">
        <v>400</v>
      </c>
      <c r="L967" s="7" t="s">
        <v>22</v>
      </c>
      <c r="M967" s="6" t="s">
        <v>331</v>
      </c>
      <c r="N967" s="8" t="s">
        <v>3768</v>
      </c>
      <c r="O967" s="6">
        <f>HYPERLINK("https://docs.wto.org/imrd/directdoc.asp?DDFDocuments/t/G/SPS/NKWT156.DOCX", "https://docs.wto.org/imrd/directdoc.asp?DDFDocuments/t/G/SPS/NKWT156.DOCX")</f>
      </c>
      <c r="P967" s="6">
        <f>HYPERLINK("https://docs.wto.org/imrd/directdoc.asp?DDFDocuments/u/G/SPS/NKWT156.DOCX", "https://docs.wto.org/imrd/directdoc.asp?DDFDocuments/u/G/SPS/NKWT156.DOCX")</f>
      </c>
      <c r="Q967" s="6">
        <f>HYPERLINK("https://docs.wto.org/imrd/directdoc.asp?DDFDocuments/v/G/SPS/NKWT156.DOCX", "https://docs.wto.org/imrd/directdoc.asp?DDFDocuments/v/G/SPS/NKWT156.DOCX")</f>
      </c>
    </row>
    <row r="968">
      <c r="A968" s="6" t="s">
        <v>1443</v>
      </c>
      <c r="B968" s="7">
        <v>45595</v>
      </c>
      <c r="C968" s="9">
        <f>HYPERLINK("https://eping.wto.org/en/Search?viewData= G/TBT/N/IDN/76/Add.2"," G/TBT/N/IDN/76/Add.2")</f>
      </c>
      <c r="D968" s="8" t="s">
        <v>3769</v>
      </c>
      <c r="E968" s="8" t="s">
        <v>3770</v>
      </c>
      <c r="F968" s="8" t="s">
        <v>3771</v>
      </c>
      <c r="G968" s="8" t="s">
        <v>3772</v>
      </c>
      <c r="H968" s="8" t="s">
        <v>3773</v>
      </c>
      <c r="I968" s="8" t="s">
        <v>641</v>
      </c>
      <c r="J968" s="8" t="s">
        <v>266</v>
      </c>
      <c r="K968" s="6"/>
      <c r="L968" s="7" t="s">
        <v>22</v>
      </c>
      <c r="M968" s="6" t="s">
        <v>40</v>
      </c>
      <c r="N968" s="8" t="s">
        <v>3774</v>
      </c>
      <c r="O968" s="6">
        <f>HYPERLINK("https://docs.wto.org/imrd/directdoc.asp?DDFDocuments/t/G/TBTN13/IDN76A2.DOCX", "https://docs.wto.org/imrd/directdoc.asp?DDFDocuments/t/G/TBTN13/IDN76A2.DOCX")</f>
      </c>
      <c r="P968" s="6">
        <f>HYPERLINK("https://docs.wto.org/imrd/directdoc.asp?DDFDocuments/u/G/TBTN13/IDN76A2.DOCX", "https://docs.wto.org/imrd/directdoc.asp?DDFDocuments/u/G/TBTN13/IDN76A2.DOCX")</f>
      </c>
      <c r="Q968" s="6">
        <f>HYPERLINK("https://docs.wto.org/imrd/directdoc.asp?DDFDocuments/v/G/TBTN13/IDN76A2.DOCX", "https://docs.wto.org/imrd/directdoc.asp?DDFDocuments/v/G/TBTN13/IDN76A2.DOCX")</f>
      </c>
    </row>
    <row r="969">
      <c r="A969" s="6" t="s">
        <v>226</v>
      </c>
      <c r="B969" s="7">
        <v>45595</v>
      </c>
      <c r="C969" s="9">
        <f>HYPERLINK("https://eping.wto.org/en/Search?viewData= G/TBT/N/ARE/638, G/TBT/N/BHR/723, G/TBT/N/KWT/703, G/TBT/N/OMN/546, G/TBT/N/QAT/697, G/TBT/N/SAU/1367, G/TBT/N/YEM/303"," G/TBT/N/ARE/638, G/TBT/N/BHR/723, G/TBT/N/KWT/703, G/TBT/N/OMN/546, G/TBT/N/QAT/697, G/TBT/N/SAU/1367, G/TBT/N/YEM/303")</f>
      </c>
      <c r="D969" s="8" t="s">
        <v>3715</v>
      </c>
      <c r="E969" s="8" t="s">
        <v>3716</v>
      </c>
      <c r="F969" s="8" t="s">
        <v>3717</v>
      </c>
      <c r="G969" s="8" t="s">
        <v>3718</v>
      </c>
      <c r="H969" s="8" t="s">
        <v>2363</v>
      </c>
      <c r="I969" s="8" t="s">
        <v>286</v>
      </c>
      <c r="J969" s="8" t="s">
        <v>58</v>
      </c>
      <c r="K969" s="6"/>
      <c r="L969" s="7">
        <v>45655</v>
      </c>
      <c r="M969" s="6" t="s">
        <v>32</v>
      </c>
      <c r="N969" s="8" t="s">
        <v>3719</v>
      </c>
      <c r="O969" s="6">
        <f>HYPERLINK("https://docs.wto.org/imrd/directdoc.asp?DDFDocuments/t/G/TBTN24/ARE638.DOCX", "https://docs.wto.org/imrd/directdoc.asp?DDFDocuments/t/G/TBTN24/ARE638.DOCX")</f>
      </c>
      <c r="P969" s="6">
        <f>HYPERLINK("https://docs.wto.org/imrd/directdoc.asp?DDFDocuments/u/G/TBTN24/ARE638.DOCX", "https://docs.wto.org/imrd/directdoc.asp?DDFDocuments/u/G/TBTN24/ARE638.DOCX")</f>
      </c>
      <c r="Q969" s="6">
        <f>HYPERLINK("https://docs.wto.org/imrd/directdoc.asp?DDFDocuments/v/G/TBTN24/ARE638.DOCX", "https://docs.wto.org/imrd/directdoc.asp?DDFDocuments/v/G/TBTN24/ARE638.DOCX")</f>
      </c>
    </row>
    <row r="970">
      <c r="A970" s="6" t="s">
        <v>226</v>
      </c>
      <c r="B970" s="7">
        <v>45595</v>
      </c>
      <c r="C970" s="9">
        <f>HYPERLINK("https://eping.wto.org/en/Search?viewData= G/TBT/N/ARE/639, G/TBT/N/BHR/724, G/TBT/N/KWT/704, G/TBT/N/OMN/547, G/TBT/N/QAT/698, G/TBT/N/SAU/1368, G/TBT/N/YEM/304"," G/TBT/N/ARE/639, G/TBT/N/BHR/724, G/TBT/N/KWT/704, G/TBT/N/OMN/547, G/TBT/N/QAT/698, G/TBT/N/SAU/1368, G/TBT/N/YEM/304")</f>
      </c>
      <c r="D970" s="8" t="s">
        <v>3220</v>
      </c>
      <c r="E970" s="8" t="s">
        <v>3737</v>
      </c>
      <c r="F970" s="8" t="s">
        <v>3222</v>
      </c>
      <c r="G970" s="8" t="s">
        <v>3738</v>
      </c>
      <c r="H970" s="8" t="s">
        <v>3739</v>
      </c>
      <c r="I970" s="8" t="s">
        <v>286</v>
      </c>
      <c r="J970" s="8" t="s">
        <v>58</v>
      </c>
      <c r="K970" s="6"/>
      <c r="L970" s="7">
        <v>45655</v>
      </c>
      <c r="M970" s="6" t="s">
        <v>32</v>
      </c>
      <c r="N970" s="8" t="s">
        <v>3740</v>
      </c>
      <c r="O970" s="6">
        <f>HYPERLINK("https://docs.wto.org/imrd/directdoc.asp?DDFDocuments/t/G/TBTN24/ARE639.DOCX", "https://docs.wto.org/imrd/directdoc.asp?DDFDocuments/t/G/TBTN24/ARE639.DOCX")</f>
      </c>
      <c r="P970" s="6">
        <f>HYPERLINK("https://docs.wto.org/imrd/directdoc.asp?DDFDocuments/u/G/TBTN24/ARE639.DOCX", "https://docs.wto.org/imrd/directdoc.asp?DDFDocuments/u/G/TBTN24/ARE639.DOCX")</f>
      </c>
      <c r="Q970" s="6">
        <f>HYPERLINK("https://docs.wto.org/imrd/directdoc.asp?DDFDocuments/v/G/TBTN24/ARE639.DOCX", "https://docs.wto.org/imrd/directdoc.asp?DDFDocuments/v/G/TBTN24/ARE639.DOCX")</f>
      </c>
    </row>
    <row r="971">
      <c r="A971" s="6" t="s">
        <v>3271</v>
      </c>
      <c r="B971" s="7">
        <v>45595</v>
      </c>
      <c r="C971" s="9">
        <f>HYPERLINK("https://eping.wto.org/en/Search?viewData= G/TBT/N/ARE/636, G/TBT/N/BHR/721, G/TBT/N/KWT/701, G/TBT/N/OMN/544, G/TBT/N/QAT/695, G/TBT/N/SAU/1365, G/TBT/N/YEM/301"," G/TBT/N/ARE/636, G/TBT/N/BHR/721, G/TBT/N/KWT/701, G/TBT/N/OMN/544, G/TBT/N/QAT/695, G/TBT/N/SAU/1365, G/TBT/N/YEM/301")</f>
      </c>
      <c r="D971" s="8" t="s">
        <v>3711</v>
      </c>
      <c r="E971" s="8" t="s">
        <v>3712</v>
      </c>
      <c r="F971" s="8" t="s">
        <v>2533</v>
      </c>
      <c r="G971" s="8" t="s">
        <v>3713</v>
      </c>
      <c r="H971" s="8" t="s">
        <v>2534</v>
      </c>
      <c r="I971" s="8" t="s">
        <v>286</v>
      </c>
      <c r="J971" s="8" t="s">
        <v>58</v>
      </c>
      <c r="K971" s="6"/>
      <c r="L971" s="7">
        <v>45655</v>
      </c>
      <c r="M971" s="6" t="s">
        <v>32</v>
      </c>
      <c r="N971" s="8" t="s">
        <v>3714</v>
      </c>
      <c r="O971" s="6">
        <f>HYPERLINK("https://docs.wto.org/imrd/directdoc.asp?DDFDocuments/t/G/TBTN24/ARE636.DOCX", "https://docs.wto.org/imrd/directdoc.asp?DDFDocuments/t/G/TBTN24/ARE636.DOCX")</f>
      </c>
      <c r="P971" s="6">
        <f>HYPERLINK("https://docs.wto.org/imrd/directdoc.asp?DDFDocuments/u/G/TBTN24/ARE636.DOCX", "https://docs.wto.org/imrd/directdoc.asp?DDFDocuments/u/G/TBTN24/ARE636.DOCX")</f>
      </c>
      <c r="Q971" s="6">
        <f>HYPERLINK("https://docs.wto.org/imrd/directdoc.asp?DDFDocuments/v/G/TBTN24/ARE636.DOCX", "https://docs.wto.org/imrd/directdoc.asp?DDFDocuments/v/G/TBTN24/ARE636.DOCX")</f>
      </c>
    </row>
    <row r="972">
      <c r="A972" s="6" t="s">
        <v>3271</v>
      </c>
      <c r="B972" s="7">
        <v>45595</v>
      </c>
      <c r="C972" s="9">
        <f>HYPERLINK("https://eping.wto.org/en/Search?viewData= G/TBT/N/ARE/637, G/TBT/N/BHR/722, G/TBT/N/KWT/702, G/TBT/N/OMN/545, G/TBT/N/QAT/696, G/TBT/N/SAU/1366, G/TBT/N/YEM/302"," G/TBT/N/ARE/637, G/TBT/N/BHR/722, G/TBT/N/KWT/702, G/TBT/N/OMN/545, G/TBT/N/QAT/696, G/TBT/N/SAU/1366, G/TBT/N/YEM/302")</f>
      </c>
      <c r="D972" s="8" t="s">
        <v>3775</v>
      </c>
      <c r="E972" s="8" t="s">
        <v>3776</v>
      </c>
      <c r="F972" s="8" t="s">
        <v>3777</v>
      </c>
      <c r="G972" s="8" t="s">
        <v>253</v>
      </c>
      <c r="H972" s="8" t="s">
        <v>115</v>
      </c>
      <c r="I972" s="8" t="s">
        <v>286</v>
      </c>
      <c r="J972" s="8" t="s">
        <v>58</v>
      </c>
      <c r="K972" s="6"/>
      <c r="L972" s="7">
        <v>45655</v>
      </c>
      <c r="M972" s="6" t="s">
        <v>32</v>
      </c>
      <c r="N972" s="8" t="s">
        <v>3778</v>
      </c>
      <c r="O972" s="6">
        <f>HYPERLINK("https://docs.wto.org/imrd/directdoc.asp?DDFDocuments/t/G/TBTN24/ARE637.DOCX", "https://docs.wto.org/imrd/directdoc.asp?DDFDocuments/t/G/TBTN24/ARE637.DOCX")</f>
      </c>
      <c r="P972" s="6">
        <f>HYPERLINK("https://docs.wto.org/imrd/directdoc.asp?DDFDocuments/u/G/TBTN24/ARE637.DOCX", "https://docs.wto.org/imrd/directdoc.asp?DDFDocuments/u/G/TBTN24/ARE637.DOCX")</f>
      </c>
      <c r="Q972" s="6">
        <f>HYPERLINK("https://docs.wto.org/imrd/directdoc.asp?DDFDocuments/v/G/TBTN24/ARE637.DOCX", "https://docs.wto.org/imrd/directdoc.asp?DDFDocuments/v/G/TBTN24/ARE637.DOCX")</f>
      </c>
    </row>
    <row r="973">
      <c r="A973" s="6" t="s">
        <v>170</v>
      </c>
      <c r="B973" s="7">
        <v>45595</v>
      </c>
      <c r="C973" s="9">
        <f>HYPERLINK("https://eping.wto.org/en/Search?viewData= G/TBT/N/ARE/636, G/TBT/N/BHR/721, G/TBT/N/KWT/701, G/TBT/N/OMN/544, G/TBT/N/QAT/695, G/TBT/N/SAU/1365, G/TBT/N/YEM/301"," G/TBT/N/ARE/636, G/TBT/N/BHR/721, G/TBT/N/KWT/701, G/TBT/N/OMN/544, G/TBT/N/QAT/695, G/TBT/N/SAU/1365, G/TBT/N/YEM/301")</f>
      </c>
      <c r="D973" s="8" t="s">
        <v>3711</v>
      </c>
      <c r="E973" s="8" t="s">
        <v>3712</v>
      </c>
      <c r="F973" s="8" t="s">
        <v>2533</v>
      </c>
      <c r="G973" s="8" t="s">
        <v>3713</v>
      </c>
      <c r="H973" s="8" t="s">
        <v>2534</v>
      </c>
      <c r="I973" s="8" t="s">
        <v>286</v>
      </c>
      <c r="J973" s="8" t="s">
        <v>58</v>
      </c>
      <c r="K973" s="6"/>
      <c r="L973" s="7">
        <v>45655</v>
      </c>
      <c r="M973" s="6" t="s">
        <v>32</v>
      </c>
      <c r="N973" s="8" t="s">
        <v>3714</v>
      </c>
      <c r="O973" s="6">
        <f>HYPERLINK("https://docs.wto.org/imrd/directdoc.asp?DDFDocuments/t/G/TBTN24/ARE636.DOCX", "https://docs.wto.org/imrd/directdoc.asp?DDFDocuments/t/G/TBTN24/ARE636.DOCX")</f>
      </c>
      <c r="P973" s="6">
        <f>HYPERLINK("https://docs.wto.org/imrd/directdoc.asp?DDFDocuments/u/G/TBTN24/ARE636.DOCX", "https://docs.wto.org/imrd/directdoc.asp?DDFDocuments/u/G/TBTN24/ARE636.DOCX")</f>
      </c>
      <c r="Q973" s="6">
        <f>HYPERLINK("https://docs.wto.org/imrd/directdoc.asp?DDFDocuments/v/G/TBTN24/ARE636.DOCX", "https://docs.wto.org/imrd/directdoc.asp?DDFDocuments/v/G/TBTN24/ARE636.DOCX")</f>
      </c>
    </row>
    <row r="974">
      <c r="A974" s="6" t="s">
        <v>976</v>
      </c>
      <c r="B974" s="7">
        <v>45595</v>
      </c>
      <c r="C974" s="9">
        <f>HYPERLINK("https://eping.wto.org/en/Search?viewData= G/TBT/N/ARE/638, G/TBT/N/BHR/723, G/TBT/N/KWT/703, G/TBT/N/OMN/546, G/TBT/N/QAT/697, G/TBT/N/SAU/1367, G/TBT/N/YEM/303"," G/TBT/N/ARE/638, G/TBT/N/BHR/723, G/TBT/N/KWT/703, G/TBT/N/OMN/546, G/TBT/N/QAT/697, G/TBT/N/SAU/1367, G/TBT/N/YEM/303")</f>
      </c>
      <c r="D974" s="8" t="s">
        <v>3715</v>
      </c>
      <c r="E974" s="8" t="s">
        <v>3716</v>
      </c>
      <c r="F974" s="8" t="s">
        <v>3717</v>
      </c>
      <c r="G974" s="8" t="s">
        <v>3718</v>
      </c>
      <c r="H974" s="8" t="s">
        <v>2363</v>
      </c>
      <c r="I974" s="8" t="s">
        <v>286</v>
      </c>
      <c r="J974" s="8" t="s">
        <v>58</v>
      </c>
      <c r="K974" s="6"/>
      <c r="L974" s="7">
        <v>45655</v>
      </c>
      <c r="M974" s="6" t="s">
        <v>32</v>
      </c>
      <c r="N974" s="8" t="s">
        <v>3719</v>
      </c>
      <c r="O974" s="6">
        <f>HYPERLINK("https://docs.wto.org/imrd/directdoc.asp?DDFDocuments/t/G/TBTN24/ARE638.DOCX", "https://docs.wto.org/imrd/directdoc.asp?DDFDocuments/t/G/TBTN24/ARE638.DOCX")</f>
      </c>
      <c r="P974" s="6">
        <f>HYPERLINK("https://docs.wto.org/imrd/directdoc.asp?DDFDocuments/u/G/TBTN24/ARE638.DOCX", "https://docs.wto.org/imrd/directdoc.asp?DDFDocuments/u/G/TBTN24/ARE638.DOCX")</f>
      </c>
      <c r="Q974" s="6">
        <f>HYPERLINK("https://docs.wto.org/imrd/directdoc.asp?DDFDocuments/v/G/TBTN24/ARE638.DOCX", "https://docs.wto.org/imrd/directdoc.asp?DDFDocuments/v/G/TBTN24/ARE638.DOCX")</f>
      </c>
    </row>
    <row r="975">
      <c r="A975" s="6" t="s">
        <v>1443</v>
      </c>
      <c r="B975" s="7">
        <v>45595</v>
      </c>
      <c r="C975" s="9">
        <f>HYPERLINK("https://eping.wto.org/en/Search?viewData= G/TBT/N/IDN/130/Add.1"," G/TBT/N/IDN/130/Add.1")</f>
      </c>
      <c r="D975" s="8" t="s">
        <v>3779</v>
      </c>
      <c r="E975" s="8" t="s">
        <v>3780</v>
      </c>
      <c r="F975" s="8" t="s">
        <v>3781</v>
      </c>
      <c r="G975" s="8" t="s">
        <v>3782</v>
      </c>
      <c r="H975" s="8" t="s">
        <v>3783</v>
      </c>
      <c r="I975" s="8" t="s">
        <v>760</v>
      </c>
      <c r="J975" s="8" t="s">
        <v>22</v>
      </c>
      <c r="K975" s="6"/>
      <c r="L975" s="7" t="s">
        <v>22</v>
      </c>
      <c r="M975" s="6" t="s">
        <v>40</v>
      </c>
      <c r="N975" s="8" t="s">
        <v>3784</v>
      </c>
      <c r="O975" s="6">
        <f>HYPERLINK("https://docs.wto.org/imrd/directdoc.asp?DDFDocuments/t/G/TBTN21/IDN130A1.DOCX", "https://docs.wto.org/imrd/directdoc.asp?DDFDocuments/t/G/TBTN21/IDN130A1.DOCX")</f>
      </c>
      <c r="P975" s="6">
        <f>HYPERLINK("https://docs.wto.org/imrd/directdoc.asp?DDFDocuments/u/G/TBTN21/IDN130A1.DOCX", "https://docs.wto.org/imrd/directdoc.asp?DDFDocuments/u/G/TBTN21/IDN130A1.DOCX")</f>
      </c>
      <c r="Q975" s="6">
        <f>HYPERLINK("https://docs.wto.org/imrd/directdoc.asp?DDFDocuments/v/G/TBTN21/IDN130A1.DOCX", "https://docs.wto.org/imrd/directdoc.asp?DDFDocuments/v/G/TBTN21/IDN130A1.DOCX")</f>
      </c>
    </row>
    <row r="976">
      <c r="A976" s="6" t="s">
        <v>976</v>
      </c>
      <c r="B976" s="7">
        <v>45595</v>
      </c>
      <c r="C976" s="9">
        <f>HYPERLINK("https://eping.wto.org/en/Search?viewData= G/TBT/N/ARE/636, G/TBT/N/BHR/721, G/TBT/N/KWT/701, G/TBT/N/OMN/544, G/TBT/N/QAT/695, G/TBT/N/SAU/1365, G/TBT/N/YEM/301"," G/TBT/N/ARE/636, G/TBT/N/BHR/721, G/TBT/N/KWT/701, G/TBT/N/OMN/544, G/TBT/N/QAT/695, G/TBT/N/SAU/1365, G/TBT/N/YEM/301")</f>
      </c>
      <c r="D976" s="8" t="s">
        <v>3711</v>
      </c>
      <c r="E976" s="8" t="s">
        <v>3712</v>
      </c>
      <c r="F976" s="8" t="s">
        <v>2533</v>
      </c>
      <c r="G976" s="8" t="s">
        <v>3713</v>
      </c>
      <c r="H976" s="8" t="s">
        <v>2534</v>
      </c>
      <c r="I976" s="8" t="s">
        <v>286</v>
      </c>
      <c r="J976" s="8" t="s">
        <v>58</v>
      </c>
      <c r="K976" s="6"/>
      <c r="L976" s="7">
        <v>45655</v>
      </c>
      <c r="M976" s="6" t="s">
        <v>32</v>
      </c>
      <c r="N976" s="8" t="s">
        <v>3714</v>
      </c>
      <c r="O976" s="6">
        <f>HYPERLINK("https://docs.wto.org/imrd/directdoc.asp?DDFDocuments/t/G/TBTN24/ARE636.DOCX", "https://docs.wto.org/imrd/directdoc.asp?DDFDocuments/t/G/TBTN24/ARE636.DOCX")</f>
      </c>
      <c r="P976" s="6">
        <f>HYPERLINK("https://docs.wto.org/imrd/directdoc.asp?DDFDocuments/u/G/TBTN24/ARE636.DOCX", "https://docs.wto.org/imrd/directdoc.asp?DDFDocuments/u/G/TBTN24/ARE636.DOCX")</f>
      </c>
      <c r="Q976" s="6">
        <f>HYPERLINK("https://docs.wto.org/imrd/directdoc.asp?DDFDocuments/v/G/TBTN24/ARE636.DOCX", "https://docs.wto.org/imrd/directdoc.asp?DDFDocuments/v/G/TBTN24/ARE636.DOCX")</f>
      </c>
    </row>
    <row r="977">
      <c r="A977" s="6" t="s">
        <v>3255</v>
      </c>
      <c r="B977" s="7">
        <v>45595</v>
      </c>
      <c r="C977" s="9">
        <f>HYPERLINK("https://eping.wto.org/en/Search?viewData= G/TBT/N/ARE/637, G/TBT/N/BHR/722, G/TBT/N/KWT/702, G/TBT/N/OMN/545, G/TBT/N/QAT/696, G/TBT/N/SAU/1366, G/TBT/N/YEM/302"," G/TBT/N/ARE/637, G/TBT/N/BHR/722, G/TBT/N/KWT/702, G/TBT/N/OMN/545, G/TBT/N/QAT/696, G/TBT/N/SAU/1366, G/TBT/N/YEM/302")</f>
      </c>
      <c r="D977" s="8" t="s">
        <v>3775</v>
      </c>
      <c r="E977" s="8" t="s">
        <v>3776</v>
      </c>
      <c r="F977" s="8" t="s">
        <v>3777</v>
      </c>
      <c r="G977" s="8" t="s">
        <v>253</v>
      </c>
      <c r="H977" s="8" t="s">
        <v>115</v>
      </c>
      <c r="I977" s="8" t="s">
        <v>286</v>
      </c>
      <c r="J977" s="8" t="s">
        <v>58</v>
      </c>
      <c r="K977" s="6"/>
      <c r="L977" s="7">
        <v>45655</v>
      </c>
      <c r="M977" s="6" t="s">
        <v>32</v>
      </c>
      <c r="N977" s="8" t="s">
        <v>3778</v>
      </c>
      <c r="O977" s="6">
        <f>HYPERLINK("https://docs.wto.org/imrd/directdoc.asp?DDFDocuments/t/G/TBTN24/ARE637.DOCX", "https://docs.wto.org/imrd/directdoc.asp?DDFDocuments/t/G/TBTN24/ARE637.DOCX")</f>
      </c>
      <c r="P977" s="6">
        <f>HYPERLINK("https://docs.wto.org/imrd/directdoc.asp?DDFDocuments/u/G/TBTN24/ARE637.DOCX", "https://docs.wto.org/imrd/directdoc.asp?DDFDocuments/u/G/TBTN24/ARE637.DOCX")</f>
      </c>
      <c r="Q977" s="6">
        <f>HYPERLINK("https://docs.wto.org/imrd/directdoc.asp?DDFDocuments/v/G/TBTN24/ARE637.DOCX", "https://docs.wto.org/imrd/directdoc.asp?DDFDocuments/v/G/TBTN24/ARE637.DOCX")</f>
      </c>
    </row>
    <row r="978">
      <c r="A978" s="6" t="s">
        <v>1982</v>
      </c>
      <c r="B978" s="7">
        <v>45595</v>
      </c>
      <c r="C978" s="9">
        <f>HYPERLINK("https://eping.wto.org/en/Search?viewData= G/TBT/N/ARE/637, G/TBT/N/BHR/722, G/TBT/N/KWT/702, G/TBT/N/OMN/545, G/TBT/N/QAT/696, G/TBT/N/SAU/1366, G/TBT/N/YEM/302"," G/TBT/N/ARE/637, G/TBT/N/BHR/722, G/TBT/N/KWT/702, G/TBT/N/OMN/545, G/TBT/N/QAT/696, G/TBT/N/SAU/1366, G/TBT/N/YEM/302")</f>
      </c>
      <c r="D978" s="8" t="s">
        <v>3775</v>
      </c>
      <c r="E978" s="8" t="s">
        <v>3776</v>
      </c>
      <c r="F978" s="8" t="s">
        <v>3777</v>
      </c>
      <c r="G978" s="8" t="s">
        <v>253</v>
      </c>
      <c r="H978" s="8" t="s">
        <v>115</v>
      </c>
      <c r="I978" s="8" t="s">
        <v>286</v>
      </c>
      <c r="J978" s="8" t="s">
        <v>58</v>
      </c>
      <c r="K978" s="6"/>
      <c r="L978" s="7">
        <v>45655</v>
      </c>
      <c r="M978" s="6" t="s">
        <v>32</v>
      </c>
      <c r="N978" s="8" t="s">
        <v>3778</v>
      </c>
      <c r="O978" s="6">
        <f>HYPERLINK("https://docs.wto.org/imrd/directdoc.asp?DDFDocuments/t/G/TBTN24/ARE637.DOCX", "https://docs.wto.org/imrd/directdoc.asp?DDFDocuments/t/G/TBTN24/ARE637.DOCX")</f>
      </c>
      <c r="P978" s="6">
        <f>HYPERLINK("https://docs.wto.org/imrd/directdoc.asp?DDFDocuments/u/G/TBTN24/ARE637.DOCX", "https://docs.wto.org/imrd/directdoc.asp?DDFDocuments/u/G/TBTN24/ARE637.DOCX")</f>
      </c>
      <c r="Q978" s="6">
        <f>HYPERLINK("https://docs.wto.org/imrd/directdoc.asp?DDFDocuments/v/G/TBTN24/ARE637.DOCX", "https://docs.wto.org/imrd/directdoc.asp?DDFDocuments/v/G/TBTN24/ARE637.DOCX")</f>
      </c>
    </row>
    <row r="979">
      <c r="A979" s="6" t="s">
        <v>1982</v>
      </c>
      <c r="B979" s="7">
        <v>45595</v>
      </c>
      <c r="C979" s="9">
        <f>HYPERLINK("https://eping.wto.org/en/Search?viewData= G/TBT/N/ARE/638, G/TBT/N/BHR/723, G/TBT/N/KWT/703, G/TBT/N/OMN/546, G/TBT/N/QAT/697, G/TBT/N/SAU/1367, G/TBT/N/YEM/303"," G/TBT/N/ARE/638, G/TBT/N/BHR/723, G/TBT/N/KWT/703, G/TBT/N/OMN/546, G/TBT/N/QAT/697, G/TBT/N/SAU/1367, G/TBT/N/YEM/303")</f>
      </c>
      <c r="D979" s="8" t="s">
        <v>3715</v>
      </c>
      <c r="E979" s="8" t="s">
        <v>3716</v>
      </c>
      <c r="F979" s="8" t="s">
        <v>3717</v>
      </c>
      <c r="G979" s="8" t="s">
        <v>3718</v>
      </c>
      <c r="H979" s="8" t="s">
        <v>2363</v>
      </c>
      <c r="I979" s="8" t="s">
        <v>286</v>
      </c>
      <c r="J979" s="8" t="s">
        <v>58</v>
      </c>
      <c r="K979" s="6"/>
      <c r="L979" s="7">
        <v>45655</v>
      </c>
      <c r="M979" s="6" t="s">
        <v>32</v>
      </c>
      <c r="N979" s="8" t="s">
        <v>3719</v>
      </c>
      <c r="O979" s="6">
        <f>HYPERLINK("https://docs.wto.org/imrd/directdoc.asp?DDFDocuments/t/G/TBTN24/ARE638.DOCX", "https://docs.wto.org/imrd/directdoc.asp?DDFDocuments/t/G/TBTN24/ARE638.DOCX")</f>
      </c>
      <c r="P979" s="6">
        <f>HYPERLINK("https://docs.wto.org/imrd/directdoc.asp?DDFDocuments/u/G/TBTN24/ARE638.DOCX", "https://docs.wto.org/imrd/directdoc.asp?DDFDocuments/u/G/TBTN24/ARE638.DOCX")</f>
      </c>
      <c r="Q979" s="6">
        <f>HYPERLINK("https://docs.wto.org/imrd/directdoc.asp?DDFDocuments/v/G/TBTN24/ARE638.DOCX", "https://docs.wto.org/imrd/directdoc.asp?DDFDocuments/v/G/TBTN24/ARE638.DOCX")</f>
      </c>
    </row>
    <row r="980">
      <c r="A980" s="6" t="s">
        <v>3255</v>
      </c>
      <c r="B980" s="7">
        <v>45595</v>
      </c>
      <c r="C980" s="9">
        <f>HYPERLINK("https://eping.wto.org/en/Search?viewData= G/TBT/N/ARE/639, G/TBT/N/BHR/724, G/TBT/N/KWT/704, G/TBT/N/OMN/547, G/TBT/N/QAT/698, G/TBT/N/SAU/1368, G/TBT/N/YEM/304"," G/TBT/N/ARE/639, G/TBT/N/BHR/724, G/TBT/N/KWT/704, G/TBT/N/OMN/547, G/TBT/N/QAT/698, G/TBT/N/SAU/1368, G/TBT/N/YEM/304")</f>
      </c>
      <c r="D980" s="8" t="s">
        <v>3220</v>
      </c>
      <c r="E980" s="8" t="s">
        <v>3737</v>
      </c>
      <c r="F980" s="8" t="s">
        <v>3222</v>
      </c>
      <c r="G980" s="8" t="s">
        <v>3738</v>
      </c>
      <c r="H980" s="8" t="s">
        <v>3739</v>
      </c>
      <c r="I980" s="8" t="s">
        <v>286</v>
      </c>
      <c r="J980" s="8" t="s">
        <v>58</v>
      </c>
      <c r="K980" s="6"/>
      <c r="L980" s="7">
        <v>45655</v>
      </c>
      <c r="M980" s="6" t="s">
        <v>32</v>
      </c>
      <c r="N980" s="8" t="s">
        <v>3740</v>
      </c>
      <c r="O980" s="6">
        <f>HYPERLINK("https://docs.wto.org/imrd/directdoc.asp?DDFDocuments/t/G/TBTN24/ARE639.DOCX", "https://docs.wto.org/imrd/directdoc.asp?DDFDocuments/t/G/TBTN24/ARE639.DOCX")</f>
      </c>
      <c r="P980" s="6">
        <f>HYPERLINK("https://docs.wto.org/imrd/directdoc.asp?DDFDocuments/u/G/TBTN24/ARE639.DOCX", "https://docs.wto.org/imrd/directdoc.asp?DDFDocuments/u/G/TBTN24/ARE639.DOCX")</f>
      </c>
      <c r="Q980" s="6">
        <f>HYPERLINK("https://docs.wto.org/imrd/directdoc.asp?DDFDocuments/v/G/TBTN24/ARE639.DOCX", "https://docs.wto.org/imrd/directdoc.asp?DDFDocuments/v/G/TBTN24/ARE639.DOCX")</f>
      </c>
    </row>
    <row r="981">
      <c r="A981" s="6" t="s">
        <v>646</v>
      </c>
      <c r="B981" s="7">
        <v>45595</v>
      </c>
      <c r="C981" s="9">
        <f>HYPERLINK("https://eping.wto.org/en/Search?viewData= G/SPS/N/COL/346/Add.1"," G/SPS/N/COL/346/Add.1")</f>
      </c>
      <c r="D981" s="8" t="s">
        <v>3785</v>
      </c>
      <c r="E981" s="8" t="s">
        <v>3785</v>
      </c>
      <c r="F981" s="8" t="s">
        <v>3786</v>
      </c>
      <c r="G981" s="8" t="s">
        <v>3787</v>
      </c>
      <c r="H981" s="8" t="s">
        <v>2886</v>
      </c>
      <c r="I981" s="8" t="s">
        <v>128</v>
      </c>
      <c r="J981" s="8" t="s">
        <v>3788</v>
      </c>
      <c r="K981" s="6"/>
      <c r="L981" s="7" t="s">
        <v>22</v>
      </c>
      <c r="M981" s="6" t="s">
        <v>40</v>
      </c>
      <c r="N981" s="8" t="s">
        <v>3789</v>
      </c>
      <c r="O981" s="6">
        <f>HYPERLINK("https://docs.wto.org/imrd/directdoc.asp?DDFDocuments/t/G/SPS/NCOL346A1.DOCX", "https://docs.wto.org/imrd/directdoc.asp?DDFDocuments/t/G/SPS/NCOL346A1.DOCX")</f>
      </c>
      <c r="P981" s="6">
        <f>HYPERLINK("https://docs.wto.org/imrd/directdoc.asp?DDFDocuments/u/G/SPS/NCOL346A1.DOCX", "https://docs.wto.org/imrd/directdoc.asp?DDFDocuments/u/G/SPS/NCOL346A1.DOCX")</f>
      </c>
      <c r="Q981" s="6">
        <f>HYPERLINK("https://docs.wto.org/imrd/directdoc.asp?DDFDocuments/v/G/SPS/NCOL346A1.DOCX", "https://docs.wto.org/imrd/directdoc.asp?DDFDocuments/v/G/SPS/NCOL346A1.DOCX")</f>
      </c>
    </row>
    <row r="982">
      <c r="A982" s="6" t="s">
        <v>226</v>
      </c>
      <c r="B982" s="7">
        <v>45595</v>
      </c>
      <c r="C982" s="9">
        <f>HYPERLINK("https://eping.wto.org/en/Search?viewData= G/TBT/N/ARE/635, G/TBT/N/BHR/720, G/TBT/N/KWT/700, G/TBT/N/OMN/543, G/TBT/N/QAT/694, G/TBT/N/SAU/1364, G/TBT/N/YEM/300"," G/TBT/N/ARE/635, G/TBT/N/BHR/720, G/TBT/N/KWT/700, G/TBT/N/OMN/543, G/TBT/N/QAT/694, G/TBT/N/SAU/1364, G/TBT/N/YEM/300")</f>
      </c>
      <c r="D982" s="8" t="s">
        <v>3746</v>
      </c>
      <c r="E982" s="8" t="s">
        <v>3747</v>
      </c>
      <c r="F982" s="8" t="s">
        <v>2533</v>
      </c>
      <c r="G982" s="8" t="s">
        <v>3748</v>
      </c>
      <c r="H982" s="8" t="s">
        <v>2534</v>
      </c>
      <c r="I982" s="8" t="s">
        <v>286</v>
      </c>
      <c r="J982" s="8" t="s">
        <v>58</v>
      </c>
      <c r="K982" s="6"/>
      <c r="L982" s="7">
        <v>45655</v>
      </c>
      <c r="M982" s="6" t="s">
        <v>32</v>
      </c>
      <c r="N982" s="8" t="s">
        <v>3749</v>
      </c>
      <c r="O982" s="6">
        <f>HYPERLINK("https://docs.wto.org/imrd/directdoc.asp?DDFDocuments/t/G/TBTN24/ARE635.DOCX", "https://docs.wto.org/imrd/directdoc.asp?DDFDocuments/t/G/TBTN24/ARE635.DOCX")</f>
      </c>
      <c r="P982" s="6">
        <f>HYPERLINK("https://docs.wto.org/imrd/directdoc.asp?DDFDocuments/u/G/TBTN24/ARE635.DOCX", "https://docs.wto.org/imrd/directdoc.asp?DDFDocuments/u/G/TBTN24/ARE635.DOCX")</f>
      </c>
      <c r="Q982" s="6">
        <f>HYPERLINK("https://docs.wto.org/imrd/directdoc.asp?DDFDocuments/v/G/TBTN24/ARE635.DOCX", "https://docs.wto.org/imrd/directdoc.asp?DDFDocuments/v/G/TBTN24/ARE635.DOCX")</f>
      </c>
    </row>
    <row r="983">
      <c r="A983" s="6" t="s">
        <v>226</v>
      </c>
      <c r="B983" s="7">
        <v>45595</v>
      </c>
      <c r="C983" s="9">
        <f>HYPERLINK("https://eping.wto.org/en/Search?viewData= G/TBT/N/ARE/637, G/TBT/N/BHR/722, G/TBT/N/KWT/702, G/TBT/N/OMN/545, G/TBT/N/QAT/696, G/TBT/N/SAU/1366, G/TBT/N/YEM/302"," G/TBT/N/ARE/637, G/TBT/N/BHR/722, G/TBT/N/KWT/702, G/TBT/N/OMN/545, G/TBT/N/QAT/696, G/TBT/N/SAU/1366, G/TBT/N/YEM/302")</f>
      </c>
      <c r="D983" s="8" t="s">
        <v>3775</v>
      </c>
      <c r="E983" s="8" t="s">
        <v>3776</v>
      </c>
      <c r="F983" s="8" t="s">
        <v>3777</v>
      </c>
      <c r="G983" s="8" t="s">
        <v>253</v>
      </c>
      <c r="H983" s="8" t="s">
        <v>115</v>
      </c>
      <c r="I983" s="8" t="s">
        <v>286</v>
      </c>
      <c r="J983" s="8" t="s">
        <v>58</v>
      </c>
      <c r="K983" s="6"/>
      <c r="L983" s="7">
        <v>45655</v>
      </c>
      <c r="M983" s="6" t="s">
        <v>32</v>
      </c>
      <c r="N983" s="8" t="s">
        <v>3778</v>
      </c>
      <c r="O983" s="6">
        <f>HYPERLINK("https://docs.wto.org/imrd/directdoc.asp?DDFDocuments/t/G/TBTN24/ARE637.DOCX", "https://docs.wto.org/imrd/directdoc.asp?DDFDocuments/t/G/TBTN24/ARE637.DOCX")</f>
      </c>
      <c r="P983" s="6">
        <f>HYPERLINK("https://docs.wto.org/imrd/directdoc.asp?DDFDocuments/u/G/TBTN24/ARE637.DOCX", "https://docs.wto.org/imrd/directdoc.asp?DDFDocuments/u/G/TBTN24/ARE637.DOCX")</f>
      </c>
      <c r="Q983" s="6">
        <f>HYPERLINK("https://docs.wto.org/imrd/directdoc.asp?DDFDocuments/v/G/TBTN24/ARE637.DOCX", "https://docs.wto.org/imrd/directdoc.asp?DDFDocuments/v/G/TBTN24/ARE637.DOCX")</f>
      </c>
    </row>
    <row r="984">
      <c r="A984" s="6" t="s">
        <v>513</v>
      </c>
      <c r="B984" s="7">
        <v>45595</v>
      </c>
      <c r="C984" s="9">
        <f>HYPERLINK("https://eping.wto.org/en/Search?viewData= G/TBT/N/IND/351"," G/TBT/N/IND/351")</f>
      </c>
      <c r="D984" s="8" t="s">
        <v>3296</v>
      </c>
      <c r="E984" s="8" t="s">
        <v>3790</v>
      </c>
      <c r="F984" s="8" t="s">
        <v>3722</v>
      </c>
      <c r="G984" s="8" t="s">
        <v>3791</v>
      </c>
      <c r="H984" s="8" t="s">
        <v>2534</v>
      </c>
      <c r="I984" s="8" t="s">
        <v>138</v>
      </c>
      <c r="J984" s="8" t="s">
        <v>58</v>
      </c>
      <c r="K984" s="6"/>
      <c r="L984" s="7">
        <v>45655</v>
      </c>
      <c r="M984" s="6" t="s">
        <v>32</v>
      </c>
      <c r="N984" s="8" t="s">
        <v>3792</v>
      </c>
      <c r="O984" s="6">
        <f>HYPERLINK("https://docs.wto.org/imrd/directdoc.asp?DDFDocuments/t/G/TBTN24/IND351.DOCX", "https://docs.wto.org/imrd/directdoc.asp?DDFDocuments/t/G/TBTN24/IND351.DOCX")</f>
      </c>
      <c r="P984" s="6">
        <f>HYPERLINK("https://docs.wto.org/imrd/directdoc.asp?DDFDocuments/u/G/TBTN24/IND351.DOCX", "https://docs.wto.org/imrd/directdoc.asp?DDFDocuments/u/G/TBTN24/IND351.DOCX")</f>
      </c>
      <c r="Q984" s="6">
        <f>HYPERLINK("https://docs.wto.org/imrd/directdoc.asp?DDFDocuments/v/G/TBTN24/IND351.DOCX", "https://docs.wto.org/imrd/directdoc.asp?DDFDocuments/v/G/TBTN24/IND351.DOCX")</f>
      </c>
    </row>
    <row r="985">
      <c r="A985" s="6" t="s">
        <v>513</v>
      </c>
      <c r="B985" s="7">
        <v>45595</v>
      </c>
      <c r="C985" s="9">
        <f>HYPERLINK("https://eping.wto.org/en/Search?viewData= G/TBT/N/IND/352"," G/TBT/N/IND/352")</f>
      </c>
      <c r="D985" s="8" t="s">
        <v>3793</v>
      </c>
      <c r="E985" s="8" t="s">
        <v>3794</v>
      </c>
      <c r="F985" s="8" t="s">
        <v>3722</v>
      </c>
      <c r="G985" s="8" t="s">
        <v>22</v>
      </c>
      <c r="H985" s="8" t="s">
        <v>893</v>
      </c>
      <c r="I985" s="8" t="s">
        <v>138</v>
      </c>
      <c r="J985" s="8" t="s">
        <v>58</v>
      </c>
      <c r="K985" s="6"/>
      <c r="L985" s="7">
        <v>45655</v>
      </c>
      <c r="M985" s="6" t="s">
        <v>32</v>
      </c>
      <c r="N985" s="8" t="s">
        <v>3795</v>
      </c>
      <c r="O985" s="6">
        <f>HYPERLINK("https://docs.wto.org/imrd/directdoc.asp?DDFDocuments/t/G/TBTN24/IND352.DOCX", "https://docs.wto.org/imrd/directdoc.asp?DDFDocuments/t/G/TBTN24/IND352.DOCX")</f>
      </c>
      <c r="P985" s="6">
        <f>HYPERLINK("https://docs.wto.org/imrd/directdoc.asp?DDFDocuments/u/G/TBTN24/IND352.DOCX", "https://docs.wto.org/imrd/directdoc.asp?DDFDocuments/u/G/TBTN24/IND352.DOCX")</f>
      </c>
      <c r="Q985" s="6">
        <f>HYPERLINK("https://docs.wto.org/imrd/directdoc.asp?DDFDocuments/v/G/TBTN24/IND352.DOCX", "https://docs.wto.org/imrd/directdoc.asp?DDFDocuments/v/G/TBTN24/IND352.DOCX")</f>
      </c>
    </row>
    <row r="986">
      <c r="A986" s="6" t="s">
        <v>400</v>
      </c>
      <c r="B986" s="7">
        <v>45595</v>
      </c>
      <c r="C986" s="9">
        <f>HYPERLINK("https://eping.wto.org/en/Search?viewData= G/TBT/N/USA/2156"," G/TBT/N/USA/2156")</f>
      </c>
      <c r="D986" s="8" t="s">
        <v>3796</v>
      </c>
      <c r="E986" s="8" t="s">
        <v>3797</v>
      </c>
      <c r="F986" s="8" t="s">
        <v>3798</v>
      </c>
      <c r="G986" s="8" t="s">
        <v>22</v>
      </c>
      <c r="H986" s="8" t="s">
        <v>3799</v>
      </c>
      <c r="I986" s="8" t="s">
        <v>39</v>
      </c>
      <c r="J986" s="8" t="s">
        <v>22</v>
      </c>
      <c r="K986" s="6"/>
      <c r="L986" s="7">
        <v>45625</v>
      </c>
      <c r="M986" s="6" t="s">
        <v>32</v>
      </c>
      <c r="N986" s="8" t="s">
        <v>3800</v>
      </c>
      <c r="O986" s="6">
        <f>HYPERLINK("https://docs.wto.org/imrd/directdoc.asp?DDFDocuments/t/G/TBTN24/USA2156.DOCX", "https://docs.wto.org/imrd/directdoc.asp?DDFDocuments/t/G/TBTN24/USA2156.DOCX")</f>
      </c>
      <c r="P986" s="6">
        <f>HYPERLINK("https://docs.wto.org/imrd/directdoc.asp?DDFDocuments/u/G/TBTN24/USA2156.DOCX", "https://docs.wto.org/imrd/directdoc.asp?DDFDocuments/u/G/TBTN24/USA2156.DOCX")</f>
      </c>
      <c r="Q986" s="6">
        <f>HYPERLINK("https://docs.wto.org/imrd/directdoc.asp?DDFDocuments/v/G/TBTN24/USA2156.DOCX", "https://docs.wto.org/imrd/directdoc.asp?DDFDocuments/v/G/TBTN24/USA2156.DOCX")</f>
      </c>
    </row>
    <row r="987">
      <c r="A987" s="6" t="s">
        <v>1982</v>
      </c>
      <c r="B987" s="7">
        <v>45595</v>
      </c>
      <c r="C987" s="9">
        <f>HYPERLINK("https://eping.wto.org/en/Search?viewData= G/TBT/N/ARE/635, G/TBT/N/BHR/720, G/TBT/N/KWT/700, G/TBT/N/OMN/543, G/TBT/N/QAT/694, G/TBT/N/SAU/1364, G/TBT/N/YEM/300"," G/TBT/N/ARE/635, G/TBT/N/BHR/720, G/TBT/N/KWT/700, G/TBT/N/OMN/543, G/TBT/N/QAT/694, G/TBT/N/SAU/1364, G/TBT/N/YEM/300")</f>
      </c>
      <c r="D987" s="8" t="s">
        <v>3746</v>
      </c>
      <c r="E987" s="8" t="s">
        <v>3747</v>
      </c>
      <c r="F987" s="8" t="s">
        <v>2533</v>
      </c>
      <c r="G987" s="8" t="s">
        <v>3748</v>
      </c>
      <c r="H987" s="8" t="s">
        <v>2534</v>
      </c>
      <c r="I987" s="8" t="s">
        <v>286</v>
      </c>
      <c r="J987" s="8" t="s">
        <v>58</v>
      </c>
      <c r="K987" s="6"/>
      <c r="L987" s="7">
        <v>45655</v>
      </c>
      <c r="M987" s="6" t="s">
        <v>32</v>
      </c>
      <c r="N987" s="8" t="s">
        <v>3749</v>
      </c>
      <c r="O987" s="6">
        <f>HYPERLINK("https://docs.wto.org/imrd/directdoc.asp?DDFDocuments/t/G/TBTN24/ARE635.DOCX", "https://docs.wto.org/imrd/directdoc.asp?DDFDocuments/t/G/TBTN24/ARE635.DOCX")</f>
      </c>
      <c r="P987" s="6">
        <f>HYPERLINK("https://docs.wto.org/imrd/directdoc.asp?DDFDocuments/u/G/TBTN24/ARE635.DOCX", "https://docs.wto.org/imrd/directdoc.asp?DDFDocuments/u/G/TBTN24/ARE635.DOCX")</f>
      </c>
      <c r="Q987" s="6">
        <f>HYPERLINK("https://docs.wto.org/imrd/directdoc.asp?DDFDocuments/v/G/TBTN24/ARE635.DOCX", "https://docs.wto.org/imrd/directdoc.asp?DDFDocuments/v/G/TBTN24/ARE635.DOCX")</f>
      </c>
    </row>
    <row r="988">
      <c r="A988" s="6" t="s">
        <v>1982</v>
      </c>
      <c r="B988" s="7">
        <v>45595</v>
      </c>
      <c r="C988" s="9">
        <f>HYPERLINK("https://eping.wto.org/en/Search?viewData= G/TBT/N/ARE/636, G/TBT/N/BHR/721, G/TBT/N/KWT/701, G/TBT/N/OMN/544, G/TBT/N/QAT/695, G/TBT/N/SAU/1365, G/TBT/N/YEM/301"," G/TBT/N/ARE/636, G/TBT/N/BHR/721, G/TBT/N/KWT/701, G/TBT/N/OMN/544, G/TBT/N/QAT/695, G/TBT/N/SAU/1365, G/TBT/N/YEM/301")</f>
      </c>
      <c r="D988" s="8" t="s">
        <v>3711</v>
      </c>
      <c r="E988" s="8" t="s">
        <v>3712</v>
      </c>
      <c r="F988" s="8" t="s">
        <v>2533</v>
      </c>
      <c r="G988" s="8" t="s">
        <v>3713</v>
      </c>
      <c r="H988" s="8" t="s">
        <v>2534</v>
      </c>
      <c r="I988" s="8" t="s">
        <v>286</v>
      </c>
      <c r="J988" s="8" t="s">
        <v>58</v>
      </c>
      <c r="K988" s="6"/>
      <c r="L988" s="7">
        <v>45655</v>
      </c>
      <c r="M988" s="6" t="s">
        <v>32</v>
      </c>
      <c r="N988" s="8" t="s">
        <v>3714</v>
      </c>
      <c r="O988" s="6">
        <f>HYPERLINK("https://docs.wto.org/imrd/directdoc.asp?DDFDocuments/t/G/TBTN24/ARE636.DOCX", "https://docs.wto.org/imrd/directdoc.asp?DDFDocuments/t/G/TBTN24/ARE636.DOCX")</f>
      </c>
      <c r="P988" s="6">
        <f>HYPERLINK("https://docs.wto.org/imrd/directdoc.asp?DDFDocuments/u/G/TBTN24/ARE636.DOCX", "https://docs.wto.org/imrd/directdoc.asp?DDFDocuments/u/G/TBTN24/ARE636.DOCX")</f>
      </c>
      <c r="Q988" s="6">
        <f>HYPERLINK("https://docs.wto.org/imrd/directdoc.asp?DDFDocuments/v/G/TBTN24/ARE636.DOCX", "https://docs.wto.org/imrd/directdoc.asp?DDFDocuments/v/G/TBTN24/ARE636.DOCX")</f>
      </c>
    </row>
    <row r="989">
      <c r="A989" s="6" t="s">
        <v>170</v>
      </c>
      <c r="B989" s="7">
        <v>45595</v>
      </c>
      <c r="C989" s="9">
        <f>HYPERLINK("https://eping.wto.org/en/Search?viewData= G/TBT/N/ARE/637, G/TBT/N/BHR/722, G/TBT/N/KWT/702, G/TBT/N/OMN/545, G/TBT/N/QAT/696, G/TBT/N/SAU/1366, G/TBT/N/YEM/302"," G/TBT/N/ARE/637, G/TBT/N/BHR/722, G/TBT/N/KWT/702, G/TBT/N/OMN/545, G/TBT/N/QAT/696, G/TBT/N/SAU/1366, G/TBT/N/YEM/302")</f>
      </c>
      <c r="D989" s="8" t="s">
        <v>3775</v>
      </c>
      <c r="E989" s="8" t="s">
        <v>3776</v>
      </c>
      <c r="F989" s="8" t="s">
        <v>3777</v>
      </c>
      <c r="G989" s="8" t="s">
        <v>253</v>
      </c>
      <c r="H989" s="8" t="s">
        <v>115</v>
      </c>
      <c r="I989" s="8" t="s">
        <v>286</v>
      </c>
      <c r="J989" s="8" t="s">
        <v>58</v>
      </c>
      <c r="K989" s="6"/>
      <c r="L989" s="7">
        <v>45655</v>
      </c>
      <c r="M989" s="6" t="s">
        <v>32</v>
      </c>
      <c r="N989" s="8" t="s">
        <v>3778</v>
      </c>
      <c r="O989" s="6">
        <f>HYPERLINK("https://docs.wto.org/imrd/directdoc.asp?DDFDocuments/t/G/TBTN24/ARE637.DOCX", "https://docs.wto.org/imrd/directdoc.asp?DDFDocuments/t/G/TBTN24/ARE637.DOCX")</f>
      </c>
      <c r="P989" s="6">
        <f>HYPERLINK("https://docs.wto.org/imrd/directdoc.asp?DDFDocuments/u/G/TBTN24/ARE637.DOCX", "https://docs.wto.org/imrd/directdoc.asp?DDFDocuments/u/G/TBTN24/ARE637.DOCX")</f>
      </c>
      <c r="Q989" s="6">
        <f>HYPERLINK("https://docs.wto.org/imrd/directdoc.asp?DDFDocuments/v/G/TBTN24/ARE637.DOCX", "https://docs.wto.org/imrd/directdoc.asp?DDFDocuments/v/G/TBTN24/ARE637.DOCX")</f>
      </c>
    </row>
    <row r="990">
      <c r="A990" s="6" t="s">
        <v>3272</v>
      </c>
      <c r="B990" s="7">
        <v>45595</v>
      </c>
      <c r="C990" s="9">
        <f>HYPERLINK("https://eping.wto.org/en/Search?viewData= G/TBT/N/ARE/637, G/TBT/N/BHR/722, G/TBT/N/KWT/702, G/TBT/N/OMN/545, G/TBT/N/QAT/696, G/TBT/N/SAU/1366, G/TBT/N/YEM/302"," G/TBT/N/ARE/637, G/TBT/N/BHR/722, G/TBT/N/KWT/702, G/TBT/N/OMN/545, G/TBT/N/QAT/696, G/TBT/N/SAU/1366, G/TBT/N/YEM/302")</f>
      </c>
      <c r="D990" s="8" t="s">
        <v>3775</v>
      </c>
      <c r="E990" s="8" t="s">
        <v>3776</v>
      </c>
      <c r="F990" s="8" t="s">
        <v>3777</v>
      </c>
      <c r="G990" s="8" t="s">
        <v>253</v>
      </c>
      <c r="H990" s="8" t="s">
        <v>115</v>
      </c>
      <c r="I990" s="8" t="s">
        <v>286</v>
      </c>
      <c r="J990" s="8" t="s">
        <v>58</v>
      </c>
      <c r="K990" s="6"/>
      <c r="L990" s="7">
        <v>45655</v>
      </c>
      <c r="M990" s="6" t="s">
        <v>32</v>
      </c>
      <c r="N990" s="8" t="s">
        <v>3778</v>
      </c>
      <c r="O990" s="6">
        <f>HYPERLINK("https://docs.wto.org/imrd/directdoc.asp?DDFDocuments/t/G/TBTN24/ARE637.DOCX", "https://docs.wto.org/imrd/directdoc.asp?DDFDocuments/t/G/TBTN24/ARE637.DOCX")</f>
      </c>
      <c r="P990" s="6">
        <f>HYPERLINK("https://docs.wto.org/imrd/directdoc.asp?DDFDocuments/u/G/TBTN24/ARE637.DOCX", "https://docs.wto.org/imrd/directdoc.asp?DDFDocuments/u/G/TBTN24/ARE637.DOCX")</f>
      </c>
      <c r="Q990" s="6">
        <f>HYPERLINK("https://docs.wto.org/imrd/directdoc.asp?DDFDocuments/v/G/TBTN24/ARE637.DOCX", "https://docs.wto.org/imrd/directdoc.asp?DDFDocuments/v/G/TBTN24/ARE637.DOCX")</f>
      </c>
    </row>
    <row r="991">
      <c r="A991" s="6" t="s">
        <v>3271</v>
      </c>
      <c r="B991" s="7">
        <v>45595</v>
      </c>
      <c r="C991" s="9">
        <f>HYPERLINK("https://eping.wto.org/en/Search?viewData= G/TBT/N/ARE/638, G/TBT/N/BHR/723, G/TBT/N/KWT/703, G/TBT/N/OMN/546, G/TBT/N/QAT/697, G/TBT/N/SAU/1367, G/TBT/N/YEM/303"," G/TBT/N/ARE/638, G/TBT/N/BHR/723, G/TBT/N/KWT/703, G/TBT/N/OMN/546, G/TBT/N/QAT/697, G/TBT/N/SAU/1367, G/TBT/N/YEM/303")</f>
      </c>
      <c r="D991" s="8" t="s">
        <v>3715</v>
      </c>
      <c r="E991" s="8" t="s">
        <v>3716</v>
      </c>
      <c r="F991" s="8" t="s">
        <v>3717</v>
      </c>
      <c r="G991" s="8" t="s">
        <v>3718</v>
      </c>
      <c r="H991" s="8" t="s">
        <v>2363</v>
      </c>
      <c r="I991" s="8" t="s">
        <v>286</v>
      </c>
      <c r="J991" s="8" t="s">
        <v>58</v>
      </c>
      <c r="K991" s="6"/>
      <c r="L991" s="7">
        <v>45655</v>
      </c>
      <c r="M991" s="6" t="s">
        <v>32</v>
      </c>
      <c r="N991" s="8" t="s">
        <v>3719</v>
      </c>
      <c r="O991" s="6">
        <f>HYPERLINK("https://docs.wto.org/imrd/directdoc.asp?DDFDocuments/t/G/TBTN24/ARE638.DOCX", "https://docs.wto.org/imrd/directdoc.asp?DDFDocuments/t/G/TBTN24/ARE638.DOCX")</f>
      </c>
      <c r="P991" s="6">
        <f>HYPERLINK("https://docs.wto.org/imrd/directdoc.asp?DDFDocuments/u/G/TBTN24/ARE638.DOCX", "https://docs.wto.org/imrd/directdoc.asp?DDFDocuments/u/G/TBTN24/ARE638.DOCX")</f>
      </c>
      <c r="Q991" s="6">
        <f>HYPERLINK("https://docs.wto.org/imrd/directdoc.asp?DDFDocuments/v/G/TBTN24/ARE638.DOCX", "https://docs.wto.org/imrd/directdoc.asp?DDFDocuments/v/G/TBTN24/ARE638.DOCX")</f>
      </c>
    </row>
    <row r="992">
      <c r="A992" s="6" t="s">
        <v>226</v>
      </c>
      <c r="B992" s="7">
        <v>45595</v>
      </c>
      <c r="C992" s="9">
        <f>HYPERLINK("https://eping.wto.org/en/Search?viewData= G/TBT/N/ARE/636, G/TBT/N/BHR/721, G/TBT/N/KWT/701, G/TBT/N/OMN/544, G/TBT/N/QAT/695, G/TBT/N/SAU/1365, G/TBT/N/YEM/301"," G/TBT/N/ARE/636, G/TBT/N/BHR/721, G/TBT/N/KWT/701, G/TBT/N/OMN/544, G/TBT/N/QAT/695, G/TBT/N/SAU/1365, G/TBT/N/YEM/301")</f>
      </c>
      <c r="D992" s="8" t="s">
        <v>3711</v>
      </c>
      <c r="E992" s="8" t="s">
        <v>3712</v>
      </c>
      <c r="F992" s="8" t="s">
        <v>2533</v>
      </c>
      <c r="G992" s="8" t="s">
        <v>3713</v>
      </c>
      <c r="H992" s="8" t="s">
        <v>2534</v>
      </c>
      <c r="I992" s="8" t="s">
        <v>286</v>
      </c>
      <c r="J992" s="8" t="s">
        <v>58</v>
      </c>
      <c r="K992" s="6"/>
      <c r="L992" s="7">
        <v>45655</v>
      </c>
      <c r="M992" s="6" t="s">
        <v>32</v>
      </c>
      <c r="N992" s="8" t="s">
        <v>3714</v>
      </c>
      <c r="O992" s="6">
        <f>HYPERLINK("https://docs.wto.org/imrd/directdoc.asp?DDFDocuments/t/G/TBTN24/ARE636.DOCX", "https://docs.wto.org/imrd/directdoc.asp?DDFDocuments/t/G/TBTN24/ARE636.DOCX")</f>
      </c>
      <c r="P992" s="6">
        <f>HYPERLINK("https://docs.wto.org/imrd/directdoc.asp?DDFDocuments/u/G/TBTN24/ARE636.DOCX", "https://docs.wto.org/imrd/directdoc.asp?DDFDocuments/u/G/TBTN24/ARE636.DOCX")</f>
      </c>
      <c r="Q992" s="6">
        <f>HYPERLINK("https://docs.wto.org/imrd/directdoc.asp?DDFDocuments/v/G/TBTN24/ARE636.DOCX", "https://docs.wto.org/imrd/directdoc.asp?DDFDocuments/v/G/TBTN24/ARE636.DOCX")</f>
      </c>
    </row>
    <row r="993">
      <c r="A993" s="6" t="s">
        <v>1443</v>
      </c>
      <c r="B993" s="7">
        <v>45595</v>
      </c>
      <c r="C993" s="9">
        <f>HYPERLINK("https://eping.wto.org/en/Search?viewData= G/TBT/N/IDN/150/Add.1"," G/TBT/N/IDN/150/Add.1")</f>
      </c>
      <c r="D993" s="8" t="s">
        <v>3801</v>
      </c>
      <c r="E993" s="8" t="s">
        <v>3802</v>
      </c>
      <c r="F993" s="8" t="s">
        <v>3803</v>
      </c>
      <c r="G993" s="8" t="s">
        <v>3804</v>
      </c>
      <c r="H993" s="8" t="s">
        <v>164</v>
      </c>
      <c r="I993" s="8" t="s">
        <v>3805</v>
      </c>
      <c r="J993" s="8" t="s">
        <v>22</v>
      </c>
      <c r="K993" s="6"/>
      <c r="L993" s="7" t="s">
        <v>22</v>
      </c>
      <c r="M993" s="6" t="s">
        <v>40</v>
      </c>
      <c r="N993" s="8" t="s">
        <v>3806</v>
      </c>
      <c r="O993" s="6">
        <f>HYPERLINK("https://docs.wto.org/imrd/directdoc.asp?DDFDocuments/t/G/TBTN22/IDN150A1.DOCX", "https://docs.wto.org/imrd/directdoc.asp?DDFDocuments/t/G/TBTN22/IDN150A1.DOCX")</f>
      </c>
      <c r="P993" s="6">
        <f>HYPERLINK("https://docs.wto.org/imrd/directdoc.asp?DDFDocuments/u/G/TBTN22/IDN150A1.DOCX", "https://docs.wto.org/imrd/directdoc.asp?DDFDocuments/u/G/TBTN22/IDN150A1.DOCX")</f>
      </c>
      <c r="Q993" s="6">
        <f>HYPERLINK("https://docs.wto.org/imrd/directdoc.asp?DDFDocuments/v/G/TBTN22/IDN150A1.DOCX", "https://docs.wto.org/imrd/directdoc.asp?DDFDocuments/v/G/TBTN22/IDN150A1.DOCX")</f>
      </c>
    </row>
    <row r="994">
      <c r="A994" s="6" t="s">
        <v>976</v>
      </c>
      <c r="B994" s="7">
        <v>45595</v>
      </c>
      <c r="C994" s="9">
        <f>HYPERLINK("https://eping.wto.org/en/Search?viewData= G/TBT/N/ARE/635, G/TBT/N/BHR/720, G/TBT/N/KWT/700, G/TBT/N/OMN/543, G/TBT/N/QAT/694, G/TBT/N/SAU/1364, G/TBT/N/YEM/300"," G/TBT/N/ARE/635, G/TBT/N/BHR/720, G/TBT/N/KWT/700, G/TBT/N/OMN/543, G/TBT/N/QAT/694, G/TBT/N/SAU/1364, G/TBT/N/YEM/300")</f>
      </c>
      <c r="D994" s="8" t="s">
        <v>3746</v>
      </c>
      <c r="E994" s="8" t="s">
        <v>3747</v>
      </c>
      <c r="F994" s="8" t="s">
        <v>2533</v>
      </c>
      <c r="G994" s="8" t="s">
        <v>3748</v>
      </c>
      <c r="H994" s="8" t="s">
        <v>2534</v>
      </c>
      <c r="I994" s="8" t="s">
        <v>286</v>
      </c>
      <c r="J994" s="8" t="s">
        <v>58</v>
      </c>
      <c r="K994" s="6"/>
      <c r="L994" s="7">
        <v>45655</v>
      </c>
      <c r="M994" s="6" t="s">
        <v>32</v>
      </c>
      <c r="N994" s="8" t="s">
        <v>3749</v>
      </c>
      <c r="O994" s="6">
        <f>HYPERLINK("https://docs.wto.org/imrd/directdoc.asp?DDFDocuments/t/G/TBTN24/ARE635.DOCX", "https://docs.wto.org/imrd/directdoc.asp?DDFDocuments/t/G/TBTN24/ARE635.DOCX")</f>
      </c>
      <c r="P994" s="6">
        <f>HYPERLINK("https://docs.wto.org/imrd/directdoc.asp?DDFDocuments/u/G/TBTN24/ARE635.DOCX", "https://docs.wto.org/imrd/directdoc.asp?DDFDocuments/u/G/TBTN24/ARE635.DOCX")</f>
      </c>
      <c r="Q994" s="6">
        <f>HYPERLINK("https://docs.wto.org/imrd/directdoc.asp?DDFDocuments/v/G/TBTN24/ARE635.DOCX", "https://docs.wto.org/imrd/directdoc.asp?DDFDocuments/v/G/TBTN24/ARE635.DOCX")</f>
      </c>
    </row>
    <row r="995">
      <c r="A995" s="6" t="s">
        <v>976</v>
      </c>
      <c r="B995" s="7">
        <v>45595</v>
      </c>
      <c r="C995" s="9">
        <f>HYPERLINK("https://eping.wto.org/en/Search?viewData= G/TBT/N/ARE/637, G/TBT/N/BHR/722, G/TBT/N/KWT/702, G/TBT/N/OMN/545, G/TBT/N/QAT/696, G/TBT/N/SAU/1366, G/TBT/N/YEM/302"," G/TBT/N/ARE/637, G/TBT/N/BHR/722, G/TBT/N/KWT/702, G/TBT/N/OMN/545, G/TBT/N/QAT/696, G/TBT/N/SAU/1366, G/TBT/N/YEM/302")</f>
      </c>
      <c r="D995" s="8" t="s">
        <v>3775</v>
      </c>
      <c r="E995" s="8" t="s">
        <v>3776</v>
      </c>
      <c r="F995" s="8" t="s">
        <v>3777</v>
      </c>
      <c r="G995" s="8" t="s">
        <v>253</v>
      </c>
      <c r="H995" s="8" t="s">
        <v>115</v>
      </c>
      <c r="I995" s="8" t="s">
        <v>286</v>
      </c>
      <c r="J995" s="8" t="s">
        <v>58</v>
      </c>
      <c r="K995" s="6"/>
      <c r="L995" s="7">
        <v>45655</v>
      </c>
      <c r="M995" s="6" t="s">
        <v>32</v>
      </c>
      <c r="N995" s="8" t="s">
        <v>3778</v>
      </c>
      <c r="O995" s="6">
        <f>HYPERLINK("https://docs.wto.org/imrd/directdoc.asp?DDFDocuments/t/G/TBTN24/ARE637.DOCX", "https://docs.wto.org/imrd/directdoc.asp?DDFDocuments/t/G/TBTN24/ARE637.DOCX")</f>
      </c>
      <c r="P995" s="6">
        <f>HYPERLINK("https://docs.wto.org/imrd/directdoc.asp?DDFDocuments/u/G/TBTN24/ARE637.DOCX", "https://docs.wto.org/imrd/directdoc.asp?DDFDocuments/u/G/TBTN24/ARE637.DOCX")</f>
      </c>
      <c r="Q995" s="6">
        <f>HYPERLINK("https://docs.wto.org/imrd/directdoc.asp?DDFDocuments/v/G/TBTN24/ARE637.DOCX", "https://docs.wto.org/imrd/directdoc.asp?DDFDocuments/v/G/TBTN24/ARE637.DOCX")</f>
      </c>
    </row>
    <row r="996">
      <c r="A996" s="6" t="s">
        <v>170</v>
      </c>
      <c r="B996" s="7">
        <v>45595</v>
      </c>
      <c r="C996" s="9">
        <f>HYPERLINK("https://eping.wto.org/en/Search?viewData= G/TBT/N/ARE/635, G/TBT/N/BHR/720, G/TBT/N/KWT/700, G/TBT/N/OMN/543, G/TBT/N/QAT/694, G/TBT/N/SAU/1364, G/TBT/N/YEM/300"," G/TBT/N/ARE/635, G/TBT/N/BHR/720, G/TBT/N/KWT/700, G/TBT/N/OMN/543, G/TBT/N/QAT/694, G/TBT/N/SAU/1364, G/TBT/N/YEM/300")</f>
      </c>
      <c r="D996" s="8" t="s">
        <v>3746</v>
      </c>
      <c r="E996" s="8" t="s">
        <v>3747</v>
      </c>
      <c r="F996" s="8" t="s">
        <v>2533</v>
      </c>
      <c r="G996" s="8" t="s">
        <v>3748</v>
      </c>
      <c r="H996" s="8" t="s">
        <v>2534</v>
      </c>
      <c r="I996" s="8" t="s">
        <v>286</v>
      </c>
      <c r="J996" s="8" t="s">
        <v>58</v>
      </c>
      <c r="K996" s="6"/>
      <c r="L996" s="7">
        <v>45655</v>
      </c>
      <c r="M996" s="6" t="s">
        <v>32</v>
      </c>
      <c r="N996" s="8" t="s">
        <v>3749</v>
      </c>
      <c r="O996" s="6">
        <f>HYPERLINK("https://docs.wto.org/imrd/directdoc.asp?DDFDocuments/t/G/TBTN24/ARE635.DOCX", "https://docs.wto.org/imrd/directdoc.asp?DDFDocuments/t/G/TBTN24/ARE635.DOCX")</f>
      </c>
      <c r="P996" s="6">
        <f>HYPERLINK("https://docs.wto.org/imrd/directdoc.asp?DDFDocuments/u/G/TBTN24/ARE635.DOCX", "https://docs.wto.org/imrd/directdoc.asp?DDFDocuments/u/G/TBTN24/ARE635.DOCX")</f>
      </c>
      <c r="Q996" s="6">
        <f>HYPERLINK("https://docs.wto.org/imrd/directdoc.asp?DDFDocuments/v/G/TBTN24/ARE635.DOCX", "https://docs.wto.org/imrd/directdoc.asp?DDFDocuments/v/G/TBTN24/ARE635.DOCX")</f>
      </c>
    </row>
    <row r="997">
      <c r="A997" s="6" t="s">
        <v>170</v>
      </c>
      <c r="B997" s="7">
        <v>45595</v>
      </c>
      <c r="C997" s="9">
        <f>HYPERLINK("https://eping.wto.org/en/Search?viewData= G/TBT/N/ARE/638, G/TBT/N/BHR/723, G/TBT/N/KWT/703, G/TBT/N/OMN/546, G/TBT/N/QAT/697, G/TBT/N/SAU/1367, G/TBT/N/YEM/303"," G/TBT/N/ARE/638, G/TBT/N/BHR/723, G/TBT/N/KWT/703, G/TBT/N/OMN/546, G/TBT/N/QAT/697, G/TBT/N/SAU/1367, G/TBT/N/YEM/303")</f>
      </c>
      <c r="D997" s="8" t="s">
        <v>3715</v>
      </c>
      <c r="E997" s="8" t="s">
        <v>3716</v>
      </c>
      <c r="F997" s="8" t="s">
        <v>3717</v>
      </c>
      <c r="G997" s="8" t="s">
        <v>3718</v>
      </c>
      <c r="H997" s="8" t="s">
        <v>2363</v>
      </c>
      <c r="I997" s="8" t="s">
        <v>286</v>
      </c>
      <c r="J997" s="8" t="s">
        <v>58</v>
      </c>
      <c r="K997" s="6"/>
      <c r="L997" s="7">
        <v>45655</v>
      </c>
      <c r="M997" s="6" t="s">
        <v>32</v>
      </c>
      <c r="N997" s="8" t="s">
        <v>3719</v>
      </c>
      <c r="O997" s="6">
        <f>HYPERLINK("https://docs.wto.org/imrd/directdoc.asp?DDFDocuments/t/G/TBTN24/ARE638.DOCX", "https://docs.wto.org/imrd/directdoc.asp?DDFDocuments/t/G/TBTN24/ARE638.DOCX")</f>
      </c>
      <c r="P997" s="6">
        <f>HYPERLINK("https://docs.wto.org/imrd/directdoc.asp?DDFDocuments/u/G/TBTN24/ARE638.DOCX", "https://docs.wto.org/imrd/directdoc.asp?DDFDocuments/u/G/TBTN24/ARE638.DOCX")</f>
      </c>
      <c r="Q997" s="6">
        <f>HYPERLINK("https://docs.wto.org/imrd/directdoc.asp?DDFDocuments/v/G/TBTN24/ARE638.DOCX", "https://docs.wto.org/imrd/directdoc.asp?DDFDocuments/v/G/TBTN24/ARE638.DOCX")</f>
      </c>
    </row>
    <row r="998">
      <c r="A998" s="6" t="s">
        <v>1443</v>
      </c>
      <c r="B998" s="7">
        <v>45595</v>
      </c>
      <c r="C998" s="9">
        <f>HYPERLINK("https://eping.wto.org/en/Search?viewData= G/TBT/N/IDN/168"," G/TBT/N/IDN/168")</f>
      </c>
      <c r="D998" s="8" t="s">
        <v>3807</v>
      </c>
      <c r="E998" s="8" t="s">
        <v>3808</v>
      </c>
      <c r="F998" s="8" t="s">
        <v>3809</v>
      </c>
      <c r="G998" s="8" t="s">
        <v>22</v>
      </c>
      <c r="H998" s="8" t="s">
        <v>3810</v>
      </c>
      <c r="I998" s="8" t="s">
        <v>760</v>
      </c>
      <c r="J998" s="8" t="s">
        <v>22</v>
      </c>
      <c r="K998" s="6"/>
      <c r="L998" s="7">
        <v>45655</v>
      </c>
      <c r="M998" s="6" t="s">
        <v>32</v>
      </c>
      <c r="N998" s="8" t="s">
        <v>3811</v>
      </c>
      <c r="O998" s="6">
        <f>HYPERLINK("https://docs.wto.org/imrd/directdoc.asp?DDFDocuments/t/G/TBTN24/IDN168.DOCX", "https://docs.wto.org/imrd/directdoc.asp?DDFDocuments/t/G/TBTN24/IDN168.DOCX")</f>
      </c>
      <c r="P998" s="6">
        <f>HYPERLINK("https://docs.wto.org/imrd/directdoc.asp?DDFDocuments/u/G/TBTN24/IDN168.DOCX", "https://docs.wto.org/imrd/directdoc.asp?DDFDocuments/u/G/TBTN24/IDN168.DOCX")</f>
      </c>
      <c r="Q998" s="6">
        <f>HYPERLINK("https://docs.wto.org/imrd/directdoc.asp?DDFDocuments/v/G/TBTN24/IDN168.DOCX", "https://docs.wto.org/imrd/directdoc.asp?DDFDocuments/v/G/TBTN24/IDN168.DOCX")</f>
      </c>
    </row>
    <row r="999">
      <c r="A999" s="6" t="s">
        <v>3271</v>
      </c>
      <c r="B999" s="7">
        <v>45595</v>
      </c>
      <c r="C999" s="9">
        <f>HYPERLINK("https://eping.wto.org/en/Search?viewData= G/TBT/N/ARE/635, G/TBT/N/BHR/720, G/TBT/N/KWT/700, G/TBT/N/OMN/543, G/TBT/N/QAT/694, G/TBT/N/SAU/1364, G/TBT/N/YEM/300"," G/TBT/N/ARE/635, G/TBT/N/BHR/720, G/TBT/N/KWT/700, G/TBT/N/OMN/543, G/TBT/N/QAT/694, G/TBT/N/SAU/1364, G/TBT/N/YEM/300")</f>
      </c>
      <c r="D999" s="8" t="s">
        <v>3746</v>
      </c>
      <c r="E999" s="8" t="s">
        <v>3747</v>
      </c>
      <c r="F999" s="8" t="s">
        <v>2533</v>
      </c>
      <c r="G999" s="8" t="s">
        <v>3748</v>
      </c>
      <c r="H999" s="8" t="s">
        <v>2534</v>
      </c>
      <c r="I999" s="8" t="s">
        <v>286</v>
      </c>
      <c r="J999" s="8" t="s">
        <v>58</v>
      </c>
      <c r="K999" s="6"/>
      <c r="L999" s="7">
        <v>45655</v>
      </c>
      <c r="M999" s="6" t="s">
        <v>32</v>
      </c>
      <c r="N999" s="8" t="s">
        <v>3749</v>
      </c>
      <c r="O999" s="6">
        <f>HYPERLINK("https://docs.wto.org/imrd/directdoc.asp?DDFDocuments/t/G/TBTN24/ARE635.DOCX", "https://docs.wto.org/imrd/directdoc.asp?DDFDocuments/t/G/TBTN24/ARE635.DOCX")</f>
      </c>
      <c r="P999" s="6">
        <f>HYPERLINK("https://docs.wto.org/imrd/directdoc.asp?DDFDocuments/u/G/TBTN24/ARE635.DOCX", "https://docs.wto.org/imrd/directdoc.asp?DDFDocuments/u/G/TBTN24/ARE635.DOCX")</f>
      </c>
      <c r="Q999" s="6">
        <f>HYPERLINK("https://docs.wto.org/imrd/directdoc.asp?DDFDocuments/v/G/TBTN24/ARE635.DOCX", "https://docs.wto.org/imrd/directdoc.asp?DDFDocuments/v/G/TBTN24/ARE635.DOCX")</f>
      </c>
    </row>
    <row r="1000">
      <c r="A1000" s="6" t="s">
        <v>3272</v>
      </c>
      <c r="B1000" s="7">
        <v>45595</v>
      </c>
      <c r="C1000" s="9">
        <f>HYPERLINK("https://eping.wto.org/en/Search?viewData= G/TBT/N/ARE/635, G/TBT/N/BHR/720, G/TBT/N/KWT/700, G/TBT/N/OMN/543, G/TBT/N/QAT/694, G/TBT/N/SAU/1364, G/TBT/N/YEM/300"," G/TBT/N/ARE/635, G/TBT/N/BHR/720, G/TBT/N/KWT/700, G/TBT/N/OMN/543, G/TBT/N/QAT/694, G/TBT/N/SAU/1364, G/TBT/N/YEM/300")</f>
      </c>
      <c r="D1000" s="8" t="s">
        <v>3746</v>
      </c>
      <c r="E1000" s="8" t="s">
        <v>3747</v>
      </c>
      <c r="F1000" s="8" t="s">
        <v>2533</v>
      </c>
      <c r="G1000" s="8" t="s">
        <v>3748</v>
      </c>
      <c r="H1000" s="8" t="s">
        <v>2534</v>
      </c>
      <c r="I1000" s="8" t="s">
        <v>286</v>
      </c>
      <c r="J1000" s="8" t="s">
        <v>58</v>
      </c>
      <c r="K1000" s="6"/>
      <c r="L1000" s="7">
        <v>45655</v>
      </c>
      <c r="M1000" s="6" t="s">
        <v>32</v>
      </c>
      <c r="N1000" s="8" t="s">
        <v>3812</v>
      </c>
      <c r="O1000" s="6">
        <f>HYPERLINK("https://docs.wto.org/imrd/directdoc.asp?DDFDocuments/t/G/TBTN24/ARE635.DOCX", "https://docs.wto.org/imrd/directdoc.asp?DDFDocuments/t/G/TBTN24/ARE635.DOCX")</f>
      </c>
      <c r="P1000" s="6">
        <f>HYPERLINK("https://docs.wto.org/imrd/directdoc.asp?DDFDocuments/u/G/TBTN24/ARE635.DOCX", "https://docs.wto.org/imrd/directdoc.asp?DDFDocuments/u/G/TBTN24/ARE635.DOCX")</f>
      </c>
      <c r="Q1000" s="6">
        <f>HYPERLINK("https://docs.wto.org/imrd/directdoc.asp?DDFDocuments/v/G/TBTN24/ARE635.DOCX", "https://docs.wto.org/imrd/directdoc.asp?DDFDocuments/v/G/TBTN24/ARE635.DOCX")</f>
      </c>
    </row>
    <row r="1001">
      <c r="A1001" s="6" t="s">
        <v>1443</v>
      </c>
      <c r="B1001" s="7">
        <v>45595</v>
      </c>
      <c r="C1001" s="9">
        <f>HYPERLINK("https://eping.wto.org/en/Search?viewData= G/TBT/N/IDN/43/Add.4"," G/TBT/N/IDN/43/Add.4")</f>
      </c>
      <c r="D1001" s="8" t="s">
        <v>3813</v>
      </c>
      <c r="E1001" s="8" t="s">
        <v>3814</v>
      </c>
      <c r="F1001" s="8" t="s">
        <v>3815</v>
      </c>
      <c r="G1001" s="8" t="s">
        <v>3816</v>
      </c>
      <c r="H1001" s="8" t="s">
        <v>3817</v>
      </c>
      <c r="I1001" s="8" t="s">
        <v>933</v>
      </c>
      <c r="J1001" s="8" t="s">
        <v>22</v>
      </c>
      <c r="K1001" s="6"/>
      <c r="L1001" s="7" t="s">
        <v>22</v>
      </c>
      <c r="M1001" s="6" t="s">
        <v>40</v>
      </c>
      <c r="N1001" s="8" t="s">
        <v>3818</v>
      </c>
      <c r="O1001" s="6">
        <f>HYPERLINK("https://docs.wto.org/imrd/directdoc.asp?DDFDocuments/t/G/TBTN10/IDN43A4.DOCX", "https://docs.wto.org/imrd/directdoc.asp?DDFDocuments/t/G/TBTN10/IDN43A4.DOCX")</f>
      </c>
      <c r="P1001" s="6">
        <f>HYPERLINK("https://docs.wto.org/imrd/directdoc.asp?DDFDocuments/u/G/TBTN10/IDN43A4.DOCX", "https://docs.wto.org/imrd/directdoc.asp?DDFDocuments/u/G/TBTN10/IDN43A4.DOCX")</f>
      </c>
      <c r="Q1001" s="6">
        <f>HYPERLINK("https://docs.wto.org/imrd/directdoc.asp?DDFDocuments/v/G/TBTN10/IDN43A4.DOCX", "https://docs.wto.org/imrd/directdoc.asp?DDFDocuments/v/G/TBTN10/IDN43A4.DOCX")</f>
      </c>
    </row>
    <row r="1002">
      <c r="A1002" s="6" t="s">
        <v>3255</v>
      </c>
      <c r="B1002" s="7">
        <v>45594</v>
      </c>
      <c r="C1002" s="9">
        <f>HYPERLINK("https://eping.wto.org/en/Search?viewData= G/TBT/N/ARE/451/Add.2, G/TBT/N/BHR/555/Add.2, G/TBT/N/KWT/442/Add.2, G/TBT/N/OMN/388/Add.2, G/TBT/N/QAT/553/Add.2, G/TBT/N/SAU/1095/Add.2, G/TBT/N/YEM/156/Add.2"," G/TBT/N/ARE/451/Add.2, G/TBT/N/BHR/555/Add.2, G/TBT/N/KWT/442/Add.2, G/TBT/N/OMN/388/Add.2, G/TBT/N/QAT/553/Add.2, G/TBT/N/SAU/1095/Add.2, G/TBT/N/YEM/156/Add.2")</f>
      </c>
      <c r="D1002" s="8" t="s">
        <v>3819</v>
      </c>
      <c r="E1002" s="8" t="s">
        <v>3820</v>
      </c>
      <c r="F1002" s="8" t="s">
        <v>3777</v>
      </c>
      <c r="G1002" s="8" t="s">
        <v>3821</v>
      </c>
      <c r="H1002" s="8" t="s">
        <v>3822</v>
      </c>
      <c r="I1002" s="8" t="s">
        <v>88</v>
      </c>
      <c r="J1002" s="8" t="s">
        <v>3823</v>
      </c>
      <c r="K1002" s="6"/>
      <c r="L1002" s="7" t="s">
        <v>22</v>
      </c>
      <c r="M1002" s="6" t="s">
        <v>40</v>
      </c>
      <c r="N1002" s="8" t="s">
        <v>3824</v>
      </c>
      <c r="O1002" s="6">
        <f>HYPERLINK("https://docs.wto.org/imrd/directdoc.asp?DDFDocuments/t/G/TBTN18/ARE451A2.DOCX", "https://docs.wto.org/imrd/directdoc.asp?DDFDocuments/t/G/TBTN18/ARE451A2.DOCX")</f>
      </c>
      <c r="P1002" s="6">
        <f>HYPERLINK("https://docs.wto.org/imrd/directdoc.asp?DDFDocuments/u/G/TBTN18/ARE451A2.DOCX", "https://docs.wto.org/imrd/directdoc.asp?DDFDocuments/u/G/TBTN18/ARE451A2.DOCX")</f>
      </c>
      <c r="Q1002" s="6">
        <f>HYPERLINK("https://docs.wto.org/imrd/directdoc.asp?DDFDocuments/v/G/TBTN18/ARE451A2.DOCX", "https://docs.wto.org/imrd/directdoc.asp?DDFDocuments/v/G/TBTN18/ARE451A2.DOCX")</f>
      </c>
    </row>
    <row r="1003">
      <c r="A1003" s="6" t="s">
        <v>976</v>
      </c>
      <c r="B1003" s="7">
        <v>45594</v>
      </c>
      <c r="C1003" s="9">
        <f>HYPERLINK("https://eping.wto.org/en/Search?viewData= G/TBT/N/ARE/451/Add.2, G/TBT/N/BHR/555/Add.2, G/TBT/N/KWT/442/Add.2, G/TBT/N/OMN/388/Add.2, G/TBT/N/QAT/553/Add.2, G/TBT/N/SAU/1095/Add.2, G/TBT/N/YEM/156/Add.2"," G/TBT/N/ARE/451/Add.2, G/TBT/N/BHR/555/Add.2, G/TBT/N/KWT/442/Add.2, G/TBT/N/OMN/388/Add.2, G/TBT/N/QAT/553/Add.2, G/TBT/N/SAU/1095/Add.2, G/TBT/N/YEM/156/Add.2")</f>
      </c>
      <c r="D1003" s="8" t="s">
        <v>3819</v>
      </c>
      <c r="E1003" s="8" t="s">
        <v>3820</v>
      </c>
      <c r="F1003" s="8" t="s">
        <v>3777</v>
      </c>
      <c r="G1003" s="8" t="s">
        <v>3825</v>
      </c>
      <c r="H1003" s="8" t="s">
        <v>3822</v>
      </c>
      <c r="I1003" s="8" t="s">
        <v>88</v>
      </c>
      <c r="J1003" s="8" t="s">
        <v>3826</v>
      </c>
      <c r="K1003" s="6"/>
      <c r="L1003" s="7" t="s">
        <v>22</v>
      </c>
      <c r="M1003" s="6" t="s">
        <v>40</v>
      </c>
      <c r="N1003" s="8" t="s">
        <v>3824</v>
      </c>
      <c r="O1003" s="6">
        <f>HYPERLINK("https://docs.wto.org/imrd/directdoc.asp?DDFDocuments/t/G/TBTN18/ARE451A2.DOCX", "https://docs.wto.org/imrd/directdoc.asp?DDFDocuments/t/G/TBTN18/ARE451A2.DOCX")</f>
      </c>
      <c r="P1003" s="6">
        <f>HYPERLINK("https://docs.wto.org/imrd/directdoc.asp?DDFDocuments/u/G/TBTN18/ARE451A2.DOCX", "https://docs.wto.org/imrd/directdoc.asp?DDFDocuments/u/G/TBTN18/ARE451A2.DOCX")</f>
      </c>
      <c r="Q1003" s="6">
        <f>HYPERLINK("https://docs.wto.org/imrd/directdoc.asp?DDFDocuments/v/G/TBTN18/ARE451A2.DOCX", "https://docs.wto.org/imrd/directdoc.asp?DDFDocuments/v/G/TBTN18/ARE451A2.DOCX")</f>
      </c>
    </row>
    <row r="1004">
      <c r="A1004" s="6" t="s">
        <v>976</v>
      </c>
      <c r="B1004" s="7">
        <v>45594</v>
      </c>
      <c r="C1004" s="9">
        <f>HYPERLINK("https://eping.wto.org/en/Search?viewData= G/TBT/N/ARE/634, G/TBT/N/BHR/719, G/TBT/N/KWT/699, G/TBT/N/OMN/542, G/TBT/N/QAT/693, G/TBT/N/SAU/1363, G/TBT/N/YEM/299"," G/TBT/N/ARE/634, G/TBT/N/BHR/719, G/TBT/N/KWT/699, G/TBT/N/OMN/542, G/TBT/N/QAT/693, G/TBT/N/SAU/1363, G/TBT/N/YEM/299")</f>
      </c>
      <c r="D1004" s="8" t="s">
        <v>3827</v>
      </c>
      <c r="E1004" s="8" t="s">
        <v>3828</v>
      </c>
      <c r="F1004" s="8" t="s">
        <v>3777</v>
      </c>
      <c r="G1004" s="8" t="s">
        <v>22</v>
      </c>
      <c r="H1004" s="8" t="s">
        <v>115</v>
      </c>
      <c r="I1004" s="8" t="s">
        <v>2854</v>
      </c>
      <c r="J1004" s="8" t="s">
        <v>3829</v>
      </c>
      <c r="K1004" s="6"/>
      <c r="L1004" s="7">
        <v>45654</v>
      </c>
      <c r="M1004" s="6" t="s">
        <v>32</v>
      </c>
      <c r="N1004" s="8" t="s">
        <v>3830</v>
      </c>
      <c r="O1004" s="6">
        <f>HYPERLINK("https://docs.wto.org/imrd/directdoc.asp?DDFDocuments/t/G/TBTN24/ARE634.DOCX", "https://docs.wto.org/imrd/directdoc.asp?DDFDocuments/t/G/TBTN24/ARE634.DOCX")</f>
      </c>
      <c r="P1004" s="6">
        <f>HYPERLINK("https://docs.wto.org/imrd/directdoc.asp?DDFDocuments/u/G/TBTN24/ARE634.DOCX", "https://docs.wto.org/imrd/directdoc.asp?DDFDocuments/u/G/TBTN24/ARE634.DOCX")</f>
      </c>
      <c r="Q1004" s="6">
        <f>HYPERLINK("https://docs.wto.org/imrd/directdoc.asp?DDFDocuments/v/G/TBTN24/ARE634.DOCX", "https://docs.wto.org/imrd/directdoc.asp?DDFDocuments/v/G/TBTN24/ARE634.DOCX")</f>
      </c>
    </row>
    <row r="1005">
      <c r="A1005" s="6" t="s">
        <v>3271</v>
      </c>
      <c r="B1005" s="7">
        <v>45594</v>
      </c>
      <c r="C1005" s="9">
        <f>HYPERLINK("https://eping.wto.org/en/Search?viewData= G/TBT/N/ARE/451/Add.2, G/TBT/N/BHR/555/Add.2, G/TBT/N/KWT/442/Add.2, G/TBT/N/OMN/388/Add.2, G/TBT/N/QAT/553/Add.2, G/TBT/N/SAU/1095/Add.2, G/TBT/N/YEM/156/Add.2"," G/TBT/N/ARE/451/Add.2, G/TBT/N/BHR/555/Add.2, G/TBT/N/KWT/442/Add.2, G/TBT/N/OMN/388/Add.2, G/TBT/N/QAT/553/Add.2, G/TBT/N/SAU/1095/Add.2, G/TBT/N/YEM/156/Add.2")</f>
      </c>
      <c r="D1005" s="8" t="s">
        <v>3819</v>
      </c>
      <c r="E1005" s="8" t="s">
        <v>3820</v>
      </c>
      <c r="F1005" s="8" t="s">
        <v>3777</v>
      </c>
      <c r="G1005" s="8" t="s">
        <v>3825</v>
      </c>
      <c r="H1005" s="8" t="s">
        <v>3822</v>
      </c>
      <c r="I1005" s="8" t="s">
        <v>88</v>
      </c>
      <c r="J1005" s="8" t="s">
        <v>3826</v>
      </c>
      <c r="K1005" s="6"/>
      <c r="L1005" s="7" t="s">
        <v>22</v>
      </c>
      <c r="M1005" s="6" t="s">
        <v>40</v>
      </c>
      <c r="N1005" s="8" t="s">
        <v>3824</v>
      </c>
      <c r="O1005" s="6">
        <f>HYPERLINK("https://docs.wto.org/imrd/directdoc.asp?DDFDocuments/t/G/TBTN18/ARE451A2.DOCX", "https://docs.wto.org/imrd/directdoc.asp?DDFDocuments/t/G/TBTN18/ARE451A2.DOCX")</f>
      </c>
      <c r="P1005" s="6">
        <f>HYPERLINK("https://docs.wto.org/imrd/directdoc.asp?DDFDocuments/u/G/TBTN18/ARE451A2.DOCX", "https://docs.wto.org/imrd/directdoc.asp?DDFDocuments/u/G/TBTN18/ARE451A2.DOCX")</f>
      </c>
      <c r="Q1005" s="6">
        <f>HYPERLINK("https://docs.wto.org/imrd/directdoc.asp?DDFDocuments/v/G/TBTN18/ARE451A2.DOCX", "https://docs.wto.org/imrd/directdoc.asp?DDFDocuments/v/G/TBTN18/ARE451A2.DOCX")</f>
      </c>
    </row>
    <row r="1006">
      <c r="A1006" s="6" t="s">
        <v>976</v>
      </c>
      <c r="B1006" s="7">
        <v>45594</v>
      </c>
      <c r="C1006" s="9">
        <f>HYPERLINK("https://eping.wto.org/en/Search?viewData= G/TBT/N/ARE/541/Add.2, G/TBT/N/BHR/633/Add.2, G/TBT/N/KWT/599/Add.2, G/TBT/N/OMN/469/Add.2, G/TBT/N/QAT/620/Add.2, G/TBT/N/SAU/1248/Add.2, G/TBT/N/YEM/227/Add.2"," G/TBT/N/ARE/541/Add.2, G/TBT/N/BHR/633/Add.2, G/TBT/N/KWT/599/Add.2, G/TBT/N/OMN/469/Add.2, G/TBT/N/QAT/620/Add.2, G/TBT/N/SAU/1248/Add.2, G/TBT/N/YEM/227/Add.2")</f>
      </c>
      <c r="D1006" s="8" t="s">
        <v>3831</v>
      </c>
      <c r="E1006" s="8" t="s">
        <v>3832</v>
      </c>
      <c r="F1006" s="8" t="s">
        <v>3777</v>
      </c>
      <c r="G1006" s="8" t="s">
        <v>22</v>
      </c>
      <c r="H1006" s="8" t="s">
        <v>3833</v>
      </c>
      <c r="I1006" s="8" t="s">
        <v>760</v>
      </c>
      <c r="J1006" s="8" t="s">
        <v>81</v>
      </c>
      <c r="K1006" s="6"/>
      <c r="L1006" s="7" t="s">
        <v>22</v>
      </c>
      <c r="M1006" s="6" t="s">
        <v>40</v>
      </c>
      <c r="N1006" s="8" t="s">
        <v>3834</v>
      </c>
      <c r="O1006" s="6">
        <f>HYPERLINK("https://docs.wto.org/imrd/directdoc.asp?DDFDocuments/t/G/TBTN22/ARE541A2.DOCX", "https://docs.wto.org/imrd/directdoc.asp?DDFDocuments/t/G/TBTN22/ARE541A2.DOCX")</f>
      </c>
      <c r="P1006" s="6">
        <f>HYPERLINK("https://docs.wto.org/imrd/directdoc.asp?DDFDocuments/u/G/TBTN22/ARE541A2.DOCX", "https://docs.wto.org/imrd/directdoc.asp?DDFDocuments/u/G/TBTN22/ARE541A2.DOCX")</f>
      </c>
      <c r="Q1006" s="6">
        <f>HYPERLINK("https://docs.wto.org/imrd/directdoc.asp?DDFDocuments/v/G/TBTN22/ARE541A2.DOCX", "https://docs.wto.org/imrd/directdoc.asp?DDFDocuments/v/G/TBTN22/ARE541A2.DOCX")</f>
      </c>
    </row>
    <row r="1007">
      <c r="A1007" s="6" t="s">
        <v>170</v>
      </c>
      <c r="B1007" s="7">
        <v>45594</v>
      </c>
      <c r="C1007" s="9">
        <f>HYPERLINK("https://eping.wto.org/en/Search?viewData= G/TBT/N/ARE/451/Add.2, G/TBT/N/BHR/555/Add.2, G/TBT/N/KWT/442/Add.2, G/TBT/N/OMN/388/Add.2, G/TBT/N/QAT/553/Add.2, G/TBT/N/SAU/1095/Add.2, G/TBT/N/YEM/156/Add.2"," G/TBT/N/ARE/451/Add.2, G/TBT/N/BHR/555/Add.2, G/TBT/N/KWT/442/Add.2, G/TBT/N/OMN/388/Add.2, G/TBT/N/QAT/553/Add.2, G/TBT/N/SAU/1095/Add.2, G/TBT/N/YEM/156/Add.2")</f>
      </c>
      <c r="D1007" s="8" t="s">
        <v>3819</v>
      </c>
      <c r="E1007" s="8" t="s">
        <v>3820</v>
      </c>
      <c r="F1007" s="8" t="s">
        <v>3777</v>
      </c>
      <c r="G1007" s="8" t="s">
        <v>3835</v>
      </c>
      <c r="H1007" s="8" t="s">
        <v>3836</v>
      </c>
      <c r="I1007" s="8" t="s">
        <v>88</v>
      </c>
      <c r="J1007" s="8" t="s">
        <v>3837</v>
      </c>
      <c r="K1007" s="6"/>
      <c r="L1007" s="7" t="s">
        <v>22</v>
      </c>
      <c r="M1007" s="6" t="s">
        <v>40</v>
      </c>
      <c r="N1007" s="8" t="s">
        <v>3824</v>
      </c>
      <c r="O1007" s="6">
        <f>HYPERLINK("https://docs.wto.org/imrd/directdoc.asp?DDFDocuments/t/G/TBTN18/ARE451A2.DOCX", "https://docs.wto.org/imrd/directdoc.asp?DDFDocuments/t/G/TBTN18/ARE451A2.DOCX")</f>
      </c>
      <c r="P1007" s="6">
        <f>HYPERLINK("https://docs.wto.org/imrd/directdoc.asp?DDFDocuments/u/G/TBTN18/ARE451A2.DOCX", "https://docs.wto.org/imrd/directdoc.asp?DDFDocuments/u/G/TBTN18/ARE451A2.DOCX")</f>
      </c>
      <c r="Q1007" s="6">
        <f>HYPERLINK("https://docs.wto.org/imrd/directdoc.asp?DDFDocuments/v/G/TBTN18/ARE451A2.DOCX", "https://docs.wto.org/imrd/directdoc.asp?DDFDocuments/v/G/TBTN18/ARE451A2.DOCX")</f>
      </c>
    </row>
    <row r="1008">
      <c r="A1008" s="6" t="s">
        <v>3272</v>
      </c>
      <c r="B1008" s="7">
        <v>45594</v>
      </c>
      <c r="C1008" s="9">
        <f>HYPERLINK("https://eping.wto.org/en/Search?viewData= G/TBT/N/ARE/451/Add.2, G/TBT/N/BHR/555/Add.2, G/TBT/N/KWT/442/Add.2, G/TBT/N/OMN/388/Add.2, G/TBT/N/QAT/553/Add.2, G/TBT/N/SAU/1095/Add.2, G/TBT/N/YEM/156/Add.2"," G/TBT/N/ARE/451/Add.2, G/TBT/N/BHR/555/Add.2, G/TBT/N/KWT/442/Add.2, G/TBT/N/OMN/388/Add.2, G/TBT/N/QAT/553/Add.2, G/TBT/N/SAU/1095/Add.2, G/TBT/N/YEM/156/Add.2")</f>
      </c>
      <c r="D1008" s="8" t="s">
        <v>3819</v>
      </c>
      <c r="E1008" s="8" t="s">
        <v>3820</v>
      </c>
      <c r="F1008" s="8" t="s">
        <v>3777</v>
      </c>
      <c r="G1008" s="8" t="s">
        <v>3821</v>
      </c>
      <c r="H1008" s="8" t="s">
        <v>3822</v>
      </c>
      <c r="I1008" s="8" t="s">
        <v>88</v>
      </c>
      <c r="J1008" s="8" t="s">
        <v>3826</v>
      </c>
      <c r="K1008" s="6"/>
      <c r="L1008" s="7" t="s">
        <v>22</v>
      </c>
      <c r="M1008" s="6" t="s">
        <v>40</v>
      </c>
      <c r="N1008" s="8" t="s">
        <v>3838</v>
      </c>
      <c r="O1008" s="6">
        <f>HYPERLINK("https://docs.wto.org/imrd/directdoc.asp?DDFDocuments/t/G/TBTN18/ARE451A2.DOCX", "https://docs.wto.org/imrd/directdoc.asp?DDFDocuments/t/G/TBTN18/ARE451A2.DOCX")</f>
      </c>
      <c r="P1008" s="6">
        <f>HYPERLINK("https://docs.wto.org/imrd/directdoc.asp?DDFDocuments/u/G/TBTN18/ARE451A2.DOCX", "https://docs.wto.org/imrd/directdoc.asp?DDFDocuments/u/G/TBTN18/ARE451A2.DOCX")</f>
      </c>
      <c r="Q1008" s="6">
        <f>HYPERLINK("https://docs.wto.org/imrd/directdoc.asp?DDFDocuments/v/G/TBTN18/ARE451A2.DOCX", "https://docs.wto.org/imrd/directdoc.asp?DDFDocuments/v/G/TBTN18/ARE451A2.DOCX")</f>
      </c>
    </row>
    <row r="1009">
      <c r="A1009" s="6" t="s">
        <v>3272</v>
      </c>
      <c r="B1009" s="7">
        <v>45594</v>
      </c>
      <c r="C1009" s="9">
        <f>HYPERLINK("https://eping.wto.org/en/Search?viewData= G/TBT/N/ARE/634, G/TBT/N/BHR/719, G/TBT/N/KWT/699, G/TBT/N/OMN/542, G/TBT/N/QAT/693, G/TBT/N/SAU/1363, G/TBT/N/YEM/299"," G/TBT/N/ARE/634, G/TBT/N/BHR/719, G/TBT/N/KWT/699, G/TBT/N/OMN/542, G/TBT/N/QAT/693, G/TBT/N/SAU/1363, G/TBT/N/YEM/299")</f>
      </c>
      <c r="D1009" s="8" t="s">
        <v>3827</v>
      </c>
      <c r="E1009" s="8" t="s">
        <v>3828</v>
      </c>
      <c r="F1009" s="8" t="s">
        <v>3777</v>
      </c>
      <c r="G1009" s="8" t="s">
        <v>22</v>
      </c>
      <c r="H1009" s="8" t="s">
        <v>115</v>
      </c>
      <c r="I1009" s="8" t="s">
        <v>2854</v>
      </c>
      <c r="J1009" s="8" t="s">
        <v>3829</v>
      </c>
      <c r="K1009" s="6"/>
      <c r="L1009" s="7">
        <v>45654</v>
      </c>
      <c r="M1009" s="6" t="s">
        <v>32</v>
      </c>
      <c r="N1009" s="8" t="s">
        <v>3830</v>
      </c>
      <c r="O1009" s="6">
        <f>HYPERLINK("https://docs.wto.org/imrd/directdoc.asp?DDFDocuments/t/G/TBTN24/ARE634.DOCX", "https://docs.wto.org/imrd/directdoc.asp?DDFDocuments/t/G/TBTN24/ARE634.DOCX")</f>
      </c>
      <c r="P1009" s="6">
        <f>HYPERLINK("https://docs.wto.org/imrd/directdoc.asp?DDFDocuments/u/G/TBTN24/ARE634.DOCX", "https://docs.wto.org/imrd/directdoc.asp?DDFDocuments/u/G/TBTN24/ARE634.DOCX")</f>
      </c>
      <c r="Q1009" s="6">
        <f>HYPERLINK("https://docs.wto.org/imrd/directdoc.asp?DDFDocuments/v/G/TBTN24/ARE634.DOCX", "https://docs.wto.org/imrd/directdoc.asp?DDFDocuments/v/G/TBTN24/ARE634.DOCX")</f>
      </c>
    </row>
    <row r="1010">
      <c r="A1010" s="6" t="s">
        <v>418</v>
      </c>
      <c r="B1010" s="7">
        <v>45594</v>
      </c>
      <c r="C1010" s="9">
        <f>HYPERLINK("https://eping.wto.org/en/Search?viewData= G/TBT/N/EU/1093"," G/TBT/N/EU/1093")</f>
      </c>
      <c r="D1010" s="8" t="s">
        <v>3839</v>
      </c>
      <c r="E1010" s="8" t="s">
        <v>3840</v>
      </c>
      <c r="F1010" s="8" t="s">
        <v>3841</v>
      </c>
      <c r="G1010" s="8" t="s">
        <v>22</v>
      </c>
      <c r="H1010" s="8" t="s">
        <v>1986</v>
      </c>
      <c r="I1010" s="8" t="s">
        <v>701</v>
      </c>
      <c r="J1010" s="8" t="s">
        <v>22</v>
      </c>
      <c r="K1010" s="6"/>
      <c r="L1010" s="7">
        <v>45654</v>
      </c>
      <c r="M1010" s="6" t="s">
        <v>32</v>
      </c>
      <c r="N1010" s="8" t="s">
        <v>3842</v>
      </c>
      <c r="O1010" s="6">
        <f>HYPERLINK("https://docs.wto.org/imrd/directdoc.asp?DDFDocuments/t/G/TBTN24/EU1093.DOCX", "https://docs.wto.org/imrd/directdoc.asp?DDFDocuments/t/G/TBTN24/EU1093.DOCX")</f>
      </c>
      <c r="P1010" s="6">
        <f>HYPERLINK("https://docs.wto.org/imrd/directdoc.asp?DDFDocuments/u/G/TBTN24/EU1093.DOCX", "https://docs.wto.org/imrd/directdoc.asp?DDFDocuments/u/G/TBTN24/EU1093.DOCX")</f>
      </c>
      <c r="Q1010" s="6">
        <f>HYPERLINK("https://docs.wto.org/imrd/directdoc.asp?DDFDocuments/v/G/TBTN24/EU1093.DOCX", "https://docs.wto.org/imrd/directdoc.asp?DDFDocuments/v/G/TBTN24/EU1093.DOCX")</f>
      </c>
    </row>
    <row r="1011">
      <c r="A1011" s="6" t="s">
        <v>400</v>
      </c>
      <c r="B1011" s="7">
        <v>45594</v>
      </c>
      <c r="C1011" s="9">
        <f>HYPERLINK("https://eping.wto.org/en/Search?viewData= G/TBT/N/USA/1954/Rev.1/Add.2"," G/TBT/N/USA/1954/Rev.1/Add.2")</f>
      </c>
      <c r="D1011" s="8" t="s">
        <v>1272</v>
      </c>
      <c r="E1011" s="8" t="s">
        <v>3843</v>
      </c>
      <c r="F1011" s="8" t="s">
        <v>1274</v>
      </c>
      <c r="G1011" s="8" t="s">
        <v>22</v>
      </c>
      <c r="H1011" s="8" t="s">
        <v>1275</v>
      </c>
      <c r="I1011" s="8" t="s">
        <v>1276</v>
      </c>
      <c r="J1011" s="8" t="s">
        <v>22</v>
      </c>
      <c r="K1011" s="6"/>
      <c r="L1011" s="7" t="s">
        <v>22</v>
      </c>
      <c r="M1011" s="6" t="s">
        <v>40</v>
      </c>
      <c r="N1011" s="8" t="s">
        <v>3844</v>
      </c>
      <c r="O1011" s="6">
        <f>HYPERLINK("https://docs.wto.org/imrd/directdoc.asp?DDFDocuments/t/G/TBTN22/USA1954R1A2.DOCX", "https://docs.wto.org/imrd/directdoc.asp?DDFDocuments/t/G/TBTN22/USA1954R1A2.DOCX")</f>
      </c>
      <c r="P1011" s="6">
        <f>HYPERLINK("https://docs.wto.org/imrd/directdoc.asp?DDFDocuments/u/G/TBTN22/USA1954R1A2.DOCX", "https://docs.wto.org/imrd/directdoc.asp?DDFDocuments/u/G/TBTN22/USA1954R1A2.DOCX")</f>
      </c>
      <c r="Q1011" s="6">
        <f>HYPERLINK("https://docs.wto.org/imrd/directdoc.asp?DDFDocuments/v/G/TBTN22/USA1954R1A2.DOCX", "https://docs.wto.org/imrd/directdoc.asp?DDFDocuments/v/G/TBTN22/USA1954R1A2.DOCX")</f>
      </c>
    </row>
    <row r="1012">
      <c r="A1012" s="6" t="s">
        <v>226</v>
      </c>
      <c r="B1012" s="7">
        <v>45594</v>
      </c>
      <c r="C1012" s="9">
        <f>HYPERLINK("https://eping.wto.org/en/Search?viewData= G/TBT/N/ARE/451/Add.2, G/TBT/N/BHR/555/Add.2, G/TBT/N/KWT/442/Add.2, G/TBT/N/OMN/388/Add.2, G/TBT/N/QAT/553/Add.2, G/TBT/N/SAU/1095/Add.2, G/TBT/N/YEM/156/Add.2"," G/TBT/N/ARE/451/Add.2, G/TBT/N/BHR/555/Add.2, G/TBT/N/KWT/442/Add.2, G/TBT/N/OMN/388/Add.2, G/TBT/N/QAT/553/Add.2, G/TBT/N/SAU/1095/Add.2, G/TBT/N/YEM/156/Add.2")</f>
      </c>
      <c r="D1012" s="8" t="s">
        <v>3819</v>
      </c>
      <c r="E1012" s="8" t="s">
        <v>3820</v>
      </c>
      <c r="F1012" s="8" t="s">
        <v>3777</v>
      </c>
      <c r="G1012" s="8" t="s">
        <v>3821</v>
      </c>
      <c r="H1012" s="8" t="s">
        <v>3822</v>
      </c>
      <c r="I1012" s="8" t="s">
        <v>88</v>
      </c>
      <c r="J1012" s="8" t="s">
        <v>3826</v>
      </c>
      <c r="K1012" s="6"/>
      <c r="L1012" s="7" t="s">
        <v>22</v>
      </c>
      <c r="M1012" s="6" t="s">
        <v>40</v>
      </c>
      <c r="N1012" s="8" t="s">
        <v>3824</v>
      </c>
      <c r="O1012" s="6">
        <f>HYPERLINK("https://docs.wto.org/imrd/directdoc.asp?DDFDocuments/t/G/TBTN18/ARE451A2.DOCX", "https://docs.wto.org/imrd/directdoc.asp?DDFDocuments/t/G/TBTN18/ARE451A2.DOCX")</f>
      </c>
      <c r="P1012" s="6">
        <f>HYPERLINK("https://docs.wto.org/imrd/directdoc.asp?DDFDocuments/u/G/TBTN18/ARE451A2.DOCX", "https://docs.wto.org/imrd/directdoc.asp?DDFDocuments/u/G/TBTN18/ARE451A2.DOCX")</f>
      </c>
      <c r="Q1012" s="6">
        <f>HYPERLINK("https://docs.wto.org/imrd/directdoc.asp?DDFDocuments/v/G/TBTN18/ARE451A2.DOCX", "https://docs.wto.org/imrd/directdoc.asp?DDFDocuments/v/G/TBTN18/ARE451A2.DOCX")</f>
      </c>
    </row>
    <row r="1013">
      <c r="A1013" s="6" t="s">
        <v>333</v>
      </c>
      <c r="B1013" s="7">
        <v>45594</v>
      </c>
      <c r="C1013" s="9">
        <f>HYPERLINK("https://eping.wto.org/en/Search?viewData= G/SPS/N/AUS/608"," G/SPS/N/AUS/608")</f>
      </c>
      <c r="D1013" s="8" t="s">
        <v>3845</v>
      </c>
      <c r="E1013" s="8" t="s">
        <v>3846</v>
      </c>
      <c r="F1013" s="8" t="s">
        <v>3847</v>
      </c>
      <c r="G1013" s="8" t="s">
        <v>3848</v>
      </c>
      <c r="H1013" s="8" t="s">
        <v>3849</v>
      </c>
      <c r="I1013" s="8" t="s">
        <v>1371</v>
      </c>
      <c r="J1013" s="8" t="s">
        <v>1350</v>
      </c>
      <c r="K1013" s="6" t="s">
        <v>22</v>
      </c>
      <c r="L1013" s="7">
        <v>45654</v>
      </c>
      <c r="M1013" s="6" t="s">
        <v>32</v>
      </c>
      <c r="N1013" s="8" t="s">
        <v>338</v>
      </c>
      <c r="O1013" s="6">
        <f>HYPERLINK("https://docs.wto.org/imrd/directdoc.asp?DDFDocuments/t/G/SPS/NAUS608.DOCX", "https://docs.wto.org/imrd/directdoc.asp?DDFDocuments/t/G/SPS/NAUS608.DOCX")</f>
      </c>
      <c r="P1013" s="6">
        <f>HYPERLINK("https://docs.wto.org/imrd/directdoc.asp?DDFDocuments/u/G/SPS/NAUS608.DOCX", "https://docs.wto.org/imrd/directdoc.asp?DDFDocuments/u/G/SPS/NAUS608.DOCX")</f>
      </c>
      <c r="Q1013" s="6">
        <f>HYPERLINK("https://docs.wto.org/imrd/directdoc.asp?DDFDocuments/v/G/SPS/NAUS608.DOCX", "https://docs.wto.org/imrd/directdoc.asp?DDFDocuments/v/G/SPS/NAUS608.DOCX")</f>
      </c>
    </row>
    <row r="1014">
      <c r="A1014" s="6" t="s">
        <v>732</v>
      </c>
      <c r="B1014" s="7">
        <v>45594</v>
      </c>
      <c r="C1014" s="9">
        <f>HYPERLINK("https://eping.wto.org/en/Search?viewData= G/TBT/N/MEX/540"," G/TBT/N/MEX/540")</f>
      </c>
      <c r="D1014" s="8" t="s">
        <v>3850</v>
      </c>
      <c r="E1014" s="8" t="s">
        <v>3851</v>
      </c>
      <c r="F1014" s="8" t="s">
        <v>3852</v>
      </c>
      <c r="G1014" s="8" t="s">
        <v>22</v>
      </c>
      <c r="H1014" s="8" t="s">
        <v>838</v>
      </c>
      <c r="I1014" s="8" t="s">
        <v>3262</v>
      </c>
      <c r="J1014" s="8" t="s">
        <v>22</v>
      </c>
      <c r="K1014" s="6"/>
      <c r="L1014" s="7">
        <v>45654</v>
      </c>
      <c r="M1014" s="6" t="s">
        <v>32</v>
      </c>
      <c r="N1014" s="8" t="s">
        <v>3853</v>
      </c>
      <c r="O1014" s="6">
        <f>HYPERLINK("https://docs.wto.org/imrd/directdoc.asp?DDFDocuments/t/G/TBTN24/MEX540.DOCX", "https://docs.wto.org/imrd/directdoc.asp?DDFDocuments/t/G/TBTN24/MEX540.DOCX")</f>
      </c>
      <c r="P1014" s="6">
        <f>HYPERLINK("https://docs.wto.org/imrd/directdoc.asp?DDFDocuments/u/G/TBTN24/MEX540.DOCX", "https://docs.wto.org/imrd/directdoc.asp?DDFDocuments/u/G/TBTN24/MEX540.DOCX")</f>
      </c>
      <c r="Q1014" s="6">
        <f>HYPERLINK("https://docs.wto.org/imrd/directdoc.asp?DDFDocuments/v/G/TBTN24/MEX540.DOCX", "https://docs.wto.org/imrd/directdoc.asp?DDFDocuments/v/G/TBTN24/MEX540.DOCX")</f>
      </c>
    </row>
    <row r="1015">
      <c r="A1015" s="6" t="s">
        <v>132</v>
      </c>
      <c r="B1015" s="7">
        <v>45594</v>
      </c>
      <c r="C1015" s="9">
        <f>HYPERLINK("https://eping.wto.org/en/Search?viewData= G/TBT/N/CAN/728/Add.1"," G/TBT/N/CAN/728/Add.1")</f>
      </c>
      <c r="D1015" s="8" t="s">
        <v>3854</v>
      </c>
      <c r="E1015" s="8" t="s">
        <v>3855</v>
      </c>
      <c r="F1015" s="8" t="s">
        <v>3856</v>
      </c>
      <c r="G1015" s="8" t="s">
        <v>22</v>
      </c>
      <c r="H1015" s="8" t="s">
        <v>1609</v>
      </c>
      <c r="I1015" s="8" t="s">
        <v>138</v>
      </c>
      <c r="J1015" s="8" t="s">
        <v>22</v>
      </c>
      <c r="K1015" s="6"/>
      <c r="L1015" s="7" t="s">
        <v>22</v>
      </c>
      <c r="M1015" s="6" t="s">
        <v>40</v>
      </c>
      <c r="N1015" s="6"/>
      <c r="O1015" s="6">
        <f>HYPERLINK("https://docs.wto.org/imrd/directdoc.asp?DDFDocuments/t/G/TBTN24/CAN728A1.DOCX", "https://docs.wto.org/imrd/directdoc.asp?DDFDocuments/t/G/TBTN24/CAN728A1.DOCX")</f>
      </c>
      <c r="P1015" s="6">
        <f>HYPERLINK("https://docs.wto.org/imrd/directdoc.asp?DDFDocuments/u/G/TBTN24/CAN728A1.DOCX", "https://docs.wto.org/imrd/directdoc.asp?DDFDocuments/u/G/TBTN24/CAN728A1.DOCX")</f>
      </c>
      <c r="Q1015" s="6">
        <f>HYPERLINK("https://docs.wto.org/imrd/directdoc.asp?DDFDocuments/v/G/TBTN24/CAN728A1.DOCX", "https://docs.wto.org/imrd/directdoc.asp?DDFDocuments/v/G/TBTN24/CAN728A1.DOCX")</f>
      </c>
    </row>
    <row r="1016">
      <c r="A1016" s="6" t="s">
        <v>400</v>
      </c>
      <c r="B1016" s="7">
        <v>45594</v>
      </c>
      <c r="C1016" s="9">
        <f>HYPERLINK("https://eping.wto.org/en/Search?viewData= G/TBT/N/USA/2155"," G/TBT/N/USA/2155")</f>
      </c>
      <c r="D1016" s="8" t="s">
        <v>3857</v>
      </c>
      <c r="E1016" s="8" t="s">
        <v>3858</v>
      </c>
      <c r="F1016" s="8" t="s">
        <v>3859</v>
      </c>
      <c r="G1016" s="8" t="s">
        <v>22</v>
      </c>
      <c r="H1016" s="8" t="s">
        <v>3860</v>
      </c>
      <c r="I1016" s="8" t="s">
        <v>292</v>
      </c>
      <c r="J1016" s="8" t="s">
        <v>22</v>
      </c>
      <c r="K1016" s="6"/>
      <c r="L1016" s="7">
        <v>45684</v>
      </c>
      <c r="M1016" s="6" t="s">
        <v>32</v>
      </c>
      <c r="N1016" s="8" t="s">
        <v>3861</v>
      </c>
      <c r="O1016" s="6">
        <f>HYPERLINK("https://docs.wto.org/imrd/directdoc.asp?DDFDocuments/t/G/TBTN24/USA2155.DOCX", "https://docs.wto.org/imrd/directdoc.asp?DDFDocuments/t/G/TBTN24/USA2155.DOCX")</f>
      </c>
      <c r="P1016" s="6">
        <f>HYPERLINK("https://docs.wto.org/imrd/directdoc.asp?DDFDocuments/u/G/TBTN24/USA2155.DOCX", "https://docs.wto.org/imrd/directdoc.asp?DDFDocuments/u/G/TBTN24/USA2155.DOCX")</f>
      </c>
      <c r="Q1016" s="6">
        <f>HYPERLINK("https://docs.wto.org/imrd/directdoc.asp?DDFDocuments/v/G/TBTN24/USA2155.DOCX", "https://docs.wto.org/imrd/directdoc.asp?DDFDocuments/v/G/TBTN24/USA2155.DOCX")</f>
      </c>
    </row>
    <row r="1017">
      <c r="A1017" s="6" t="s">
        <v>3271</v>
      </c>
      <c r="B1017" s="7">
        <v>45594</v>
      </c>
      <c r="C1017" s="9">
        <f>HYPERLINK("https://eping.wto.org/en/Search?viewData= G/TBT/N/ARE/634, G/TBT/N/BHR/719, G/TBT/N/KWT/699, G/TBT/N/OMN/542, G/TBT/N/QAT/693, G/TBT/N/SAU/1363, G/TBT/N/YEM/299"," G/TBT/N/ARE/634, G/TBT/N/BHR/719, G/TBT/N/KWT/699, G/TBT/N/OMN/542, G/TBT/N/QAT/693, G/TBT/N/SAU/1363, G/TBT/N/YEM/299")</f>
      </c>
      <c r="D1017" s="8" t="s">
        <v>3827</v>
      </c>
      <c r="E1017" s="8" t="s">
        <v>3828</v>
      </c>
      <c r="F1017" s="8" t="s">
        <v>3777</v>
      </c>
      <c r="G1017" s="8" t="s">
        <v>22</v>
      </c>
      <c r="H1017" s="8" t="s">
        <v>115</v>
      </c>
      <c r="I1017" s="8" t="s">
        <v>2854</v>
      </c>
      <c r="J1017" s="8" t="s">
        <v>3862</v>
      </c>
      <c r="K1017" s="6"/>
      <c r="L1017" s="7">
        <v>45654</v>
      </c>
      <c r="M1017" s="6" t="s">
        <v>32</v>
      </c>
      <c r="N1017" s="8" t="s">
        <v>3830</v>
      </c>
      <c r="O1017" s="6">
        <f>HYPERLINK("https://docs.wto.org/imrd/directdoc.asp?DDFDocuments/t/G/TBTN24/ARE634.DOCX", "https://docs.wto.org/imrd/directdoc.asp?DDFDocuments/t/G/TBTN24/ARE634.DOCX")</f>
      </c>
      <c r="P1017" s="6">
        <f>HYPERLINK("https://docs.wto.org/imrd/directdoc.asp?DDFDocuments/u/G/TBTN24/ARE634.DOCX", "https://docs.wto.org/imrd/directdoc.asp?DDFDocuments/u/G/TBTN24/ARE634.DOCX")</f>
      </c>
      <c r="Q1017" s="6">
        <f>HYPERLINK("https://docs.wto.org/imrd/directdoc.asp?DDFDocuments/v/G/TBTN24/ARE634.DOCX", "https://docs.wto.org/imrd/directdoc.asp?DDFDocuments/v/G/TBTN24/ARE634.DOCX")</f>
      </c>
    </row>
    <row r="1018">
      <c r="A1018" s="6" t="s">
        <v>3255</v>
      </c>
      <c r="B1018" s="7">
        <v>45594</v>
      </c>
      <c r="C1018" s="9">
        <f>HYPERLINK("https://eping.wto.org/en/Search?viewData= G/TBT/N/ARE/634, G/TBT/N/BHR/719, G/TBT/N/KWT/699, G/TBT/N/OMN/542, G/TBT/N/QAT/693, G/TBT/N/SAU/1363, G/TBT/N/YEM/299"," G/TBT/N/ARE/634, G/TBT/N/BHR/719, G/TBT/N/KWT/699, G/TBT/N/OMN/542, G/TBT/N/QAT/693, G/TBT/N/SAU/1363, G/TBT/N/YEM/299")</f>
      </c>
      <c r="D1018" s="8" t="s">
        <v>3827</v>
      </c>
      <c r="E1018" s="8" t="s">
        <v>3828</v>
      </c>
      <c r="F1018" s="8" t="s">
        <v>3777</v>
      </c>
      <c r="G1018" s="8" t="s">
        <v>22</v>
      </c>
      <c r="H1018" s="8" t="s">
        <v>115</v>
      </c>
      <c r="I1018" s="8" t="s">
        <v>2854</v>
      </c>
      <c r="J1018" s="8" t="s">
        <v>3862</v>
      </c>
      <c r="K1018" s="6"/>
      <c r="L1018" s="7">
        <v>45654</v>
      </c>
      <c r="M1018" s="6" t="s">
        <v>32</v>
      </c>
      <c r="N1018" s="8" t="s">
        <v>3830</v>
      </c>
      <c r="O1018" s="6">
        <f>HYPERLINK("https://docs.wto.org/imrd/directdoc.asp?DDFDocuments/t/G/TBTN24/ARE634.DOCX", "https://docs.wto.org/imrd/directdoc.asp?DDFDocuments/t/G/TBTN24/ARE634.DOCX")</f>
      </c>
      <c r="P1018" s="6">
        <f>HYPERLINK("https://docs.wto.org/imrd/directdoc.asp?DDFDocuments/u/G/TBTN24/ARE634.DOCX", "https://docs.wto.org/imrd/directdoc.asp?DDFDocuments/u/G/TBTN24/ARE634.DOCX")</f>
      </c>
      <c r="Q1018" s="6">
        <f>HYPERLINK("https://docs.wto.org/imrd/directdoc.asp?DDFDocuments/v/G/TBTN24/ARE634.DOCX", "https://docs.wto.org/imrd/directdoc.asp?DDFDocuments/v/G/TBTN24/ARE634.DOCX")</f>
      </c>
    </row>
    <row r="1019">
      <c r="A1019" s="6" t="s">
        <v>418</v>
      </c>
      <c r="B1019" s="7">
        <v>45594</v>
      </c>
      <c r="C1019" s="9">
        <f>HYPERLINK("https://eping.wto.org/en/Search?viewData= G/TBT/N/EU/1092"," G/TBT/N/EU/1092")</f>
      </c>
      <c r="D1019" s="8" t="s">
        <v>3863</v>
      </c>
      <c r="E1019" s="8" t="s">
        <v>3864</v>
      </c>
      <c r="F1019" s="8" t="s">
        <v>3865</v>
      </c>
      <c r="G1019" s="8" t="s">
        <v>22</v>
      </c>
      <c r="H1019" s="8" t="s">
        <v>3866</v>
      </c>
      <c r="I1019" s="8" t="s">
        <v>3867</v>
      </c>
      <c r="J1019" s="8" t="s">
        <v>22</v>
      </c>
      <c r="K1019" s="6"/>
      <c r="L1019" s="7">
        <v>45654</v>
      </c>
      <c r="M1019" s="6" t="s">
        <v>32</v>
      </c>
      <c r="N1019" s="8" t="s">
        <v>3868</v>
      </c>
      <c r="O1019" s="6">
        <f>HYPERLINK("https://docs.wto.org/imrd/directdoc.asp?DDFDocuments/t/G/TBTN24/EU1029.DOCX", "https://docs.wto.org/imrd/directdoc.asp?DDFDocuments/t/G/TBTN24/EU1029.DOCX")</f>
      </c>
      <c r="P1019" s="6">
        <f>HYPERLINK("https://docs.wto.org/imrd/directdoc.asp?DDFDocuments/u/G/TBTN24/EU1029.DOCX", "https://docs.wto.org/imrd/directdoc.asp?DDFDocuments/u/G/TBTN24/EU1029.DOCX")</f>
      </c>
      <c r="Q1019" s="6">
        <f>HYPERLINK("https://docs.wto.org/imrd/directdoc.asp?DDFDocuments/v/G/TBTN24/EU1029.DOCX", "https://docs.wto.org/imrd/directdoc.asp?DDFDocuments/v/G/TBTN24/EU1029.DOCX")</f>
      </c>
    </row>
    <row r="1020">
      <c r="A1020" s="6" t="s">
        <v>170</v>
      </c>
      <c r="B1020" s="7">
        <v>45594</v>
      </c>
      <c r="C1020" s="9">
        <f>HYPERLINK("https://eping.wto.org/en/Search?viewData= G/TBT/N/ARE/541/Add.2, G/TBT/N/BHR/633/Add.2, G/TBT/N/KWT/599/Add.2, G/TBT/N/OMN/469/Add.2, G/TBT/N/QAT/620/Add.2, G/TBT/N/SAU/1248/Add.2, G/TBT/N/YEM/227/Add.2"," G/TBT/N/ARE/541/Add.2, G/TBT/N/BHR/633/Add.2, G/TBT/N/KWT/599/Add.2, G/TBT/N/OMN/469/Add.2, G/TBT/N/QAT/620/Add.2, G/TBT/N/SAU/1248/Add.2, G/TBT/N/YEM/227/Add.2")</f>
      </c>
      <c r="D1020" s="8" t="s">
        <v>3831</v>
      </c>
      <c r="E1020" s="8" t="s">
        <v>3832</v>
      </c>
      <c r="F1020" s="8" t="s">
        <v>3777</v>
      </c>
      <c r="G1020" s="8" t="s">
        <v>22</v>
      </c>
      <c r="H1020" s="8" t="s">
        <v>358</v>
      </c>
      <c r="I1020" s="8" t="s">
        <v>760</v>
      </c>
      <c r="J1020" s="8" t="s">
        <v>812</v>
      </c>
      <c r="K1020" s="6"/>
      <c r="L1020" s="7" t="s">
        <v>22</v>
      </c>
      <c r="M1020" s="6" t="s">
        <v>40</v>
      </c>
      <c r="N1020" s="8" t="s">
        <v>3834</v>
      </c>
      <c r="O1020" s="6">
        <f>HYPERLINK("https://docs.wto.org/imrd/directdoc.asp?DDFDocuments/t/G/TBTN22/ARE541A2.DOCX", "https://docs.wto.org/imrd/directdoc.asp?DDFDocuments/t/G/TBTN22/ARE541A2.DOCX")</f>
      </c>
      <c r="P1020" s="6">
        <f>HYPERLINK("https://docs.wto.org/imrd/directdoc.asp?DDFDocuments/u/G/TBTN22/ARE541A2.DOCX", "https://docs.wto.org/imrd/directdoc.asp?DDFDocuments/u/G/TBTN22/ARE541A2.DOCX")</f>
      </c>
      <c r="Q1020" s="6">
        <f>HYPERLINK("https://docs.wto.org/imrd/directdoc.asp?DDFDocuments/v/G/TBTN22/ARE541A2.DOCX", "https://docs.wto.org/imrd/directdoc.asp?DDFDocuments/v/G/TBTN22/ARE541A2.DOCX")</f>
      </c>
    </row>
    <row r="1021">
      <c r="A1021" s="6" t="s">
        <v>400</v>
      </c>
      <c r="B1021" s="7">
        <v>45594</v>
      </c>
      <c r="C1021" s="9">
        <f>HYPERLINK("https://eping.wto.org/en/Search?viewData= G/TBT/N/USA/2088/Add.5/Corr.1"," G/TBT/N/USA/2088/Add.5/Corr.1")</f>
      </c>
      <c r="D1021" s="8" t="s">
        <v>1695</v>
      </c>
      <c r="E1021" s="8" t="s">
        <v>3869</v>
      </c>
      <c r="F1021" s="8" t="s">
        <v>1697</v>
      </c>
      <c r="G1021" s="8" t="s">
        <v>22</v>
      </c>
      <c r="H1021" s="8" t="s">
        <v>3870</v>
      </c>
      <c r="I1021" s="8" t="s">
        <v>405</v>
      </c>
      <c r="J1021" s="8" t="s">
        <v>22</v>
      </c>
      <c r="K1021" s="6"/>
      <c r="L1021" s="7" t="s">
        <v>22</v>
      </c>
      <c r="M1021" s="6" t="s">
        <v>248</v>
      </c>
      <c r="N1021" s="6"/>
      <c r="O1021" s="6">
        <f>HYPERLINK("https://docs.wto.org/imrd/directdoc.asp?DDFDocuments/t/G/TBTN24/USA20288A5C1.DOCX", "https://docs.wto.org/imrd/directdoc.asp?DDFDocuments/t/G/TBTN24/USA20288A5C1.DOCX")</f>
      </c>
      <c r="P1021" s="6">
        <f>HYPERLINK("https://docs.wto.org/imrd/directdoc.asp?DDFDocuments/u/G/TBTN24/USA20288A5C1.DOCX", "https://docs.wto.org/imrd/directdoc.asp?DDFDocuments/u/G/TBTN24/USA20288A5C1.DOCX")</f>
      </c>
      <c r="Q1021" s="6">
        <f>HYPERLINK("https://docs.wto.org/imrd/directdoc.asp?DDFDocuments/v/G/TBTN24/USA20288A5C1.DOCX", "https://docs.wto.org/imrd/directdoc.asp?DDFDocuments/v/G/TBTN24/USA20288A5C1.DOCX")</f>
      </c>
    </row>
    <row r="1022">
      <c r="A1022" s="6" t="s">
        <v>1982</v>
      </c>
      <c r="B1022" s="7">
        <v>45594</v>
      </c>
      <c r="C1022" s="9">
        <f>HYPERLINK("https://eping.wto.org/en/Search?viewData= G/TBT/N/ARE/634, G/TBT/N/BHR/719, G/TBT/N/KWT/699, G/TBT/N/OMN/542, G/TBT/N/QAT/693, G/TBT/N/SAU/1363, G/TBT/N/YEM/299"," G/TBT/N/ARE/634, G/TBT/N/BHR/719, G/TBT/N/KWT/699, G/TBT/N/OMN/542, G/TBT/N/QAT/693, G/TBT/N/SAU/1363, G/TBT/N/YEM/299")</f>
      </c>
      <c r="D1022" s="8" t="s">
        <v>3827</v>
      </c>
      <c r="E1022" s="8" t="s">
        <v>3828</v>
      </c>
      <c r="F1022" s="8" t="s">
        <v>3777</v>
      </c>
      <c r="G1022" s="8" t="s">
        <v>22</v>
      </c>
      <c r="H1022" s="8" t="s">
        <v>115</v>
      </c>
      <c r="I1022" s="8" t="s">
        <v>2854</v>
      </c>
      <c r="J1022" s="8" t="s">
        <v>3829</v>
      </c>
      <c r="K1022" s="6"/>
      <c r="L1022" s="7">
        <v>45654</v>
      </c>
      <c r="M1022" s="6" t="s">
        <v>32</v>
      </c>
      <c r="N1022" s="8" t="s">
        <v>3830</v>
      </c>
      <c r="O1022" s="6">
        <f>HYPERLINK("https://docs.wto.org/imrd/directdoc.asp?DDFDocuments/t/G/TBTN24/ARE634.DOCX", "https://docs.wto.org/imrd/directdoc.asp?DDFDocuments/t/G/TBTN24/ARE634.DOCX")</f>
      </c>
      <c r="P1022" s="6">
        <f>HYPERLINK("https://docs.wto.org/imrd/directdoc.asp?DDFDocuments/u/G/TBTN24/ARE634.DOCX", "https://docs.wto.org/imrd/directdoc.asp?DDFDocuments/u/G/TBTN24/ARE634.DOCX")</f>
      </c>
      <c r="Q1022" s="6">
        <f>HYPERLINK("https://docs.wto.org/imrd/directdoc.asp?DDFDocuments/v/G/TBTN24/ARE634.DOCX", "https://docs.wto.org/imrd/directdoc.asp?DDFDocuments/v/G/TBTN24/ARE634.DOCX")</f>
      </c>
    </row>
    <row r="1023">
      <c r="A1023" s="6" t="s">
        <v>170</v>
      </c>
      <c r="B1023" s="7">
        <v>45594</v>
      </c>
      <c r="C1023" s="9">
        <f>HYPERLINK("https://eping.wto.org/en/Search?viewData= G/TBT/N/ARE/634, G/TBT/N/BHR/719, G/TBT/N/KWT/699, G/TBT/N/OMN/542, G/TBT/N/QAT/693, G/TBT/N/SAU/1363, G/TBT/N/YEM/299"," G/TBT/N/ARE/634, G/TBT/N/BHR/719, G/TBT/N/KWT/699, G/TBT/N/OMN/542, G/TBT/N/QAT/693, G/TBT/N/SAU/1363, G/TBT/N/YEM/299")</f>
      </c>
      <c r="D1023" s="8" t="s">
        <v>3827</v>
      </c>
      <c r="E1023" s="8" t="s">
        <v>3828</v>
      </c>
      <c r="F1023" s="8" t="s">
        <v>3777</v>
      </c>
      <c r="G1023" s="8" t="s">
        <v>22</v>
      </c>
      <c r="H1023" s="8" t="s">
        <v>115</v>
      </c>
      <c r="I1023" s="8" t="s">
        <v>2854</v>
      </c>
      <c r="J1023" s="8" t="s">
        <v>3829</v>
      </c>
      <c r="K1023" s="6"/>
      <c r="L1023" s="7">
        <v>45654</v>
      </c>
      <c r="M1023" s="6" t="s">
        <v>32</v>
      </c>
      <c r="N1023" s="8" t="s">
        <v>3830</v>
      </c>
      <c r="O1023" s="6">
        <f>HYPERLINK("https://docs.wto.org/imrd/directdoc.asp?DDFDocuments/t/G/TBTN24/ARE634.DOCX", "https://docs.wto.org/imrd/directdoc.asp?DDFDocuments/t/G/TBTN24/ARE634.DOCX")</f>
      </c>
      <c r="P1023" s="6">
        <f>HYPERLINK("https://docs.wto.org/imrd/directdoc.asp?DDFDocuments/u/G/TBTN24/ARE634.DOCX", "https://docs.wto.org/imrd/directdoc.asp?DDFDocuments/u/G/TBTN24/ARE634.DOCX")</f>
      </c>
      <c r="Q1023" s="6">
        <f>HYPERLINK("https://docs.wto.org/imrd/directdoc.asp?DDFDocuments/v/G/TBTN24/ARE634.DOCX", "https://docs.wto.org/imrd/directdoc.asp?DDFDocuments/v/G/TBTN24/ARE634.DOCX")</f>
      </c>
    </row>
    <row r="1024">
      <c r="A1024" s="6" t="s">
        <v>400</v>
      </c>
      <c r="B1024" s="7">
        <v>45594</v>
      </c>
      <c r="C1024" s="9">
        <f>HYPERLINK("https://eping.wto.org/en/Search?viewData= G/SPS/N/USA/3308/Add.1"," G/SPS/N/USA/3308/Add.1")</f>
      </c>
      <c r="D1024" s="8" t="s">
        <v>3871</v>
      </c>
      <c r="E1024" s="8" t="s">
        <v>3872</v>
      </c>
      <c r="F1024" s="8" t="s">
        <v>3873</v>
      </c>
      <c r="G1024" s="8" t="s">
        <v>22</v>
      </c>
      <c r="H1024" s="8" t="s">
        <v>22</v>
      </c>
      <c r="I1024" s="8" t="s">
        <v>128</v>
      </c>
      <c r="J1024" s="8" t="s">
        <v>3874</v>
      </c>
      <c r="K1024" s="6"/>
      <c r="L1024" s="7" t="s">
        <v>22</v>
      </c>
      <c r="M1024" s="6" t="s">
        <v>40</v>
      </c>
      <c r="N1024" s="8" t="s">
        <v>3875</v>
      </c>
      <c r="O1024" s="6">
        <f>HYPERLINK("https://docs.wto.org/imrd/directdoc.asp?DDFDocuments/t/G/SPS/NUSA3308A1.DOCX", "https://docs.wto.org/imrd/directdoc.asp?DDFDocuments/t/G/SPS/NUSA3308A1.DOCX")</f>
      </c>
      <c r="P1024" s="6">
        <f>HYPERLINK("https://docs.wto.org/imrd/directdoc.asp?DDFDocuments/u/G/SPS/NUSA3308A1.DOCX", "https://docs.wto.org/imrd/directdoc.asp?DDFDocuments/u/G/SPS/NUSA3308A1.DOCX")</f>
      </c>
      <c r="Q1024" s="6">
        <f>HYPERLINK("https://docs.wto.org/imrd/directdoc.asp?DDFDocuments/v/G/SPS/NUSA3308A1.DOCX", "https://docs.wto.org/imrd/directdoc.asp?DDFDocuments/v/G/SPS/NUSA3308A1.DOCX")</f>
      </c>
    </row>
    <row r="1025">
      <c r="A1025" s="6" t="s">
        <v>3271</v>
      </c>
      <c r="B1025" s="7">
        <v>45594</v>
      </c>
      <c r="C1025" s="9">
        <f>HYPERLINK("https://eping.wto.org/en/Search?viewData= G/TBT/N/ARE/541/Add.2, G/TBT/N/BHR/633/Add.2, G/TBT/N/KWT/599/Add.2, G/TBT/N/OMN/469/Add.2, G/TBT/N/QAT/620/Add.2, G/TBT/N/SAU/1248/Add.2, G/TBT/N/YEM/227/Add.2"," G/TBT/N/ARE/541/Add.2, G/TBT/N/BHR/633/Add.2, G/TBT/N/KWT/599/Add.2, G/TBT/N/OMN/469/Add.2, G/TBT/N/QAT/620/Add.2, G/TBT/N/SAU/1248/Add.2, G/TBT/N/YEM/227/Add.2")</f>
      </c>
      <c r="D1025" s="8" t="s">
        <v>3831</v>
      </c>
      <c r="E1025" s="8" t="s">
        <v>3832</v>
      </c>
      <c r="F1025" s="8" t="s">
        <v>3777</v>
      </c>
      <c r="G1025" s="8" t="s">
        <v>22</v>
      </c>
      <c r="H1025" s="8" t="s">
        <v>3833</v>
      </c>
      <c r="I1025" s="8" t="s">
        <v>760</v>
      </c>
      <c r="J1025" s="8" t="s">
        <v>3876</v>
      </c>
      <c r="K1025" s="6"/>
      <c r="L1025" s="7" t="s">
        <v>22</v>
      </c>
      <c r="M1025" s="6" t="s">
        <v>40</v>
      </c>
      <c r="N1025" s="8" t="s">
        <v>3834</v>
      </c>
      <c r="O1025" s="6">
        <f>HYPERLINK("https://docs.wto.org/imrd/directdoc.asp?DDFDocuments/t/G/TBTN22/ARE541A2.DOCX", "https://docs.wto.org/imrd/directdoc.asp?DDFDocuments/t/G/TBTN22/ARE541A2.DOCX")</f>
      </c>
      <c r="P1025" s="6">
        <f>HYPERLINK("https://docs.wto.org/imrd/directdoc.asp?DDFDocuments/u/G/TBTN22/ARE541A2.DOCX", "https://docs.wto.org/imrd/directdoc.asp?DDFDocuments/u/G/TBTN22/ARE541A2.DOCX")</f>
      </c>
      <c r="Q1025" s="6">
        <f>HYPERLINK("https://docs.wto.org/imrd/directdoc.asp?DDFDocuments/v/G/TBTN22/ARE541A2.DOCX", "https://docs.wto.org/imrd/directdoc.asp?DDFDocuments/v/G/TBTN22/ARE541A2.DOCX")</f>
      </c>
    </row>
    <row r="1026">
      <c r="A1026" s="6" t="s">
        <v>1982</v>
      </c>
      <c r="B1026" s="7">
        <v>45594</v>
      </c>
      <c r="C1026" s="9">
        <f>HYPERLINK("https://eping.wto.org/en/Search?viewData= G/TBT/N/ARE/541/Add.2, G/TBT/N/BHR/633/Add.2, G/TBT/N/KWT/599/Add.2, G/TBT/N/OMN/469/Add.2, G/TBT/N/QAT/620/Add.2, G/TBT/N/SAU/1248/Add.2, G/TBT/N/YEM/227/Add.2"," G/TBT/N/ARE/541/Add.2, G/TBT/N/BHR/633/Add.2, G/TBT/N/KWT/599/Add.2, G/TBT/N/OMN/469/Add.2, G/TBT/N/QAT/620/Add.2, G/TBT/N/SAU/1248/Add.2, G/TBT/N/YEM/227/Add.2")</f>
      </c>
      <c r="D1026" s="8" t="s">
        <v>3831</v>
      </c>
      <c r="E1026" s="8" t="s">
        <v>3832</v>
      </c>
      <c r="F1026" s="8" t="s">
        <v>3777</v>
      </c>
      <c r="G1026" s="8" t="s">
        <v>22</v>
      </c>
      <c r="H1026" s="8" t="s">
        <v>3833</v>
      </c>
      <c r="I1026" s="8" t="s">
        <v>760</v>
      </c>
      <c r="J1026" s="8" t="s">
        <v>81</v>
      </c>
      <c r="K1026" s="6"/>
      <c r="L1026" s="7" t="s">
        <v>22</v>
      </c>
      <c r="M1026" s="6" t="s">
        <v>40</v>
      </c>
      <c r="N1026" s="8" t="s">
        <v>3834</v>
      </c>
      <c r="O1026" s="6">
        <f>HYPERLINK("https://docs.wto.org/imrd/directdoc.asp?DDFDocuments/t/G/TBTN22/ARE541A2.DOCX", "https://docs.wto.org/imrd/directdoc.asp?DDFDocuments/t/G/TBTN22/ARE541A2.DOCX")</f>
      </c>
      <c r="P1026" s="6">
        <f>HYPERLINK("https://docs.wto.org/imrd/directdoc.asp?DDFDocuments/u/G/TBTN22/ARE541A2.DOCX", "https://docs.wto.org/imrd/directdoc.asp?DDFDocuments/u/G/TBTN22/ARE541A2.DOCX")</f>
      </c>
      <c r="Q1026" s="6">
        <f>HYPERLINK("https://docs.wto.org/imrd/directdoc.asp?DDFDocuments/v/G/TBTN22/ARE541A2.DOCX", "https://docs.wto.org/imrd/directdoc.asp?DDFDocuments/v/G/TBTN22/ARE541A2.DOCX")</f>
      </c>
    </row>
    <row r="1027">
      <c r="A1027" s="6" t="s">
        <v>1982</v>
      </c>
      <c r="B1027" s="7">
        <v>45594</v>
      </c>
      <c r="C1027" s="9">
        <f>HYPERLINK("https://eping.wto.org/en/Search?viewData= G/TBT/N/ARE/451/Add.2, G/TBT/N/BHR/555/Add.2, G/TBT/N/KWT/442/Add.2, G/TBT/N/OMN/388/Add.2, G/TBT/N/QAT/553/Add.2, G/TBT/N/SAU/1095/Add.2, G/TBT/N/YEM/156/Add.2"," G/TBT/N/ARE/451/Add.2, G/TBT/N/BHR/555/Add.2, G/TBT/N/KWT/442/Add.2, G/TBT/N/OMN/388/Add.2, G/TBT/N/QAT/553/Add.2, G/TBT/N/SAU/1095/Add.2, G/TBT/N/YEM/156/Add.2")</f>
      </c>
      <c r="D1027" s="8" t="s">
        <v>3819</v>
      </c>
      <c r="E1027" s="8" t="s">
        <v>3820</v>
      </c>
      <c r="F1027" s="8" t="s">
        <v>3777</v>
      </c>
      <c r="G1027" s="8" t="s">
        <v>3821</v>
      </c>
      <c r="H1027" s="8" t="s">
        <v>3822</v>
      </c>
      <c r="I1027" s="8" t="s">
        <v>88</v>
      </c>
      <c r="J1027" s="8" t="s">
        <v>3826</v>
      </c>
      <c r="K1027" s="6"/>
      <c r="L1027" s="7" t="s">
        <v>22</v>
      </c>
      <c r="M1027" s="6" t="s">
        <v>40</v>
      </c>
      <c r="N1027" s="8" t="s">
        <v>3824</v>
      </c>
      <c r="O1027" s="6">
        <f>HYPERLINK("https://docs.wto.org/imrd/directdoc.asp?DDFDocuments/t/G/TBTN18/ARE451A2.DOCX", "https://docs.wto.org/imrd/directdoc.asp?DDFDocuments/t/G/TBTN18/ARE451A2.DOCX")</f>
      </c>
      <c r="P1027" s="6">
        <f>HYPERLINK("https://docs.wto.org/imrd/directdoc.asp?DDFDocuments/u/G/TBTN18/ARE451A2.DOCX", "https://docs.wto.org/imrd/directdoc.asp?DDFDocuments/u/G/TBTN18/ARE451A2.DOCX")</f>
      </c>
      <c r="Q1027" s="6">
        <f>HYPERLINK("https://docs.wto.org/imrd/directdoc.asp?DDFDocuments/v/G/TBTN18/ARE451A2.DOCX", "https://docs.wto.org/imrd/directdoc.asp?DDFDocuments/v/G/TBTN18/ARE451A2.DOCX")</f>
      </c>
    </row>
    <row r="1028">
      <c r="A1028" s="6" t="s">
        <v>3272</v>
      </c>
      <c r="B1028" s="7">
        <v>45594</v>
      </c>
      <c r="C1028" s="9">
        <f>HYPERLINK("https://eping.wto.org/en/Search?viewData= G/TBT/N/ARE/541/Add.2, G/TBT/N/BHR/633/Add.2, G/TBT/N/KWT/599/Add.2, G/TBT/N/OMN/469/Add.2, G/TBT/N/QAT/620/Add.2, G/TBT/N/SAU/1248/Add.2, G/TBT/N/YEM/227/Add.2"," G/TBT/N/ARE/541/Add.2, G/TBT/N/BHR/633/Add.2, G/TBT/N/KWT/599/Add.2, G/TBT/N/OMN/469/Add.2, G/TBT/N/QAT/620/Add.2, G/TBT/N/SAU/1248/Add.2, G/TBT/N/YEM/227/Add.2")</f>
      </c>
      <c r="D1028" s="8" t="s">
        <v>3831</v>
      </c>
      <c r="E1028" s="8" t="s">
        <v>3832</v>
      </c>
      <c r="F1028" s="8" t="s">
        <v>3777</v>
      </c>
      <c r="G1028" s="8" t="s">
        <v>22</v>
      </c>
      <c r="H1028" s="8" t="s">
        <v>3833</v>
      </c>
      <c r="I1028" s="8" t="s">
        <v>760</v>
      </c>
      <c r="J1028" s="8" t="s">
        <v>81</v>
      </c>
      <c r="K1028" s="6"/>
      <c r="L1028" s="7" t="s">
        <v>22</v>
      </c>
      <c r="M1028" s="6" t="s">
        <v>40</v>
      </c>
      <c r="N1028" s="8" t="s">
        <v>3834</v>
      </c>
      <c r="O1028" s="6">
        <f>HYPERLINK("https://docs.wto.org/imrd/directdoc.asp?DDFDocuments/t/G/TBTN22/ARE541A2.DOCX", "https://docs.wto.org/imrd/directdoc.asp?DDFDocuments/t/G/TBTN22/ARE541A2.DOCX")</f>
      </c>
      <c r="P1028" s="6">
        <f>HYPERLINK("https://docs.wto.org/imrd/directdoc.asp?DDFDocuments/u/G/TBTN22/ARE541A2.DOCX", "https://docs.wto.org/imrd/directdoc.asp?DDFDocuments/u/G/TBTN22/ARE541A2.DOCX")</f>
      </c>
      <c r="Q1028" s="6">
        <f>HYPERLINK("https://docs.wto.org/imrd/directdoc.asp?DDFDocuments/v/G/TBTN22/ARE541A2.DOCX", "https://docs.wto.org/imrd/directdoc.asp?DDFDocuments/v/G/TBTN22/ARE541A2.DOCX")</f>
      </c>
    </row>
    <row r="1029">
      <c r="A1029" s="6" t="s">
        <v>400</v>
      </c>
      <c r="B1029" s="7">
        <v>45594</v>
      </c>
      <c r="C1029" s="9">
        <f>HYPERLINK("https://eping.wto.org/en/Search?viewData= G/TBT/N/USA/480/Rev.1"," G/TBT/N/USA/480/Rev.1")</f>
      </c>
      <c r="D1029" s="8" t="s">
        <v>3877</v>
      </c>
      <c r="E1029" s="8" t="s">
        <v>3878</v>
      </c>
      <c r="F1029" s="8" t="s">
        <v>3879</v>
      </c>
      <c r="G1029" s="8" t="s">
        <v>3880</v>
      </c>
      <c r="H1029" s="8" t="s">
        <v>3881</v>
      </c>
      <c r="I1029" s="8" t="s">
        <v>39</v>
      </c>
      <c r="J1029" s="8" t="s">
        <v>22</v>
      </c>
      <c r="K1029" s="6"/>
      <c r="L1029" s="7">
        <v>45653</v>
      </c>
      <c r="M1029" s="6" t="s">
        <v>1170</v>
      </c>
      <c r="N1029" s="8" t="s">
        <v>3882</v>
      </c>
      <c r="O1029" s="6">
        <f>HYPERLINK("https://docs.wto.org/imrd/directdoc.asp?DDFDocuments/t/G/TBTN09/USA480R1.DOCX", "https://docs.wto.org/imrd/directdoc.asp?DDFDocuments/t/G/TBTN09/USA480R1.DOCX")</f>
      </c>
      <c r="P1029" s="6">
        <f>HYPERLINK("https://docs.wto.org/imrd/directdoc.asp?DDFDocuments/u/G/TBTN09/USA480R1.DOCX", "https://docs.wto.org/imrd/directdoc.asp?DDFDocuments/u/G/TBTN09/USA480R1.DOCX")</f>
      </c>
      <c r="Q1029" s="6">
        <f>HYPERLINK("https://docs.wto.org/imrd/directdoc.asp?DDFDocuments/v/G/TBTN09/USA480R1.DOCX", "https://docs.wto.org/imrd/directdoc.asp?DDFDocuments/v/G/TBTN09/USA480R1.DOCX")</f>
      </c>
    </row>
    <row r="1030">
      <c r="A1030" s="6" t="s">
        <v>226</v>
      </c>
      <c r="B1030" s="7">
        <v>45594</v>
      </c>
      <c r="C1030" s="9">
        <f>HYPERLINK("https://eping.wto.org/en/Search?viewData= G/TBT/N/ARE/634, G/TBT/N/BHR/719, G/TBT/N/KWT/699, G/TBT/N/OMN/542, G/TBT/N/QAT/693, G/TBT/N/SAU/1363, G/TBT/N/YEM/299"," G/TBT/N/ARE/634, G/TBT/N/BHR/719, G/TBT/N/KWT/699, G/TBT/N/OMN/542, G/TBT/N/QAT/693, G/TBT/N/SAU/1363, G/TBT/N/YEM/299")</f>
      </c>
      <c r="D1030" s="8" t="s">
        <v>3827</v>
      </c>
      <c r="E1030" s="8" t="s">
        <v>3828</v>
      </c>
      <c r="F1030" s="8" t="s">
        <v>3777</v>
      </c>
      <c r="G1030" s="8" t="s">
        <v>22</v>
      </c>
      <c r="H1030" s="8" t="s">
        <v>115</v>
      </c>
      <c r="I1030" s="8" t="s">
        <v>2854</v>
      </c>
      <c r="J1030" s="8" t="s">
        <v>3862</v>
      </c>
      <c r="K1030" s="6"/>
      <c r="L1030" s="7">
        <v>45654</v>
      </c>
      <c r="M1030" s="6" t="s">
        <v>32</v>
      </c>
      <c r="N1030" s="8" t="s">
        <v>3830</v>
      </c>
      <c r="O1030" s="6">
        <f>HYPERLINK("https://docs.wto.org/imrd/directdoc.asp?DDFDocuments/t/G/TBTN24/ARE634.DOCX", "https://docs.wto.org/imrd/directdoc.asp?DDFDocuments/t/G/TBTN24/ARE634.DOCX")</f>
      </c>
      <c r="P1030" s="6">
        <f>HYPERLINK("https://docs.wto.org/imrd/directdoc.asp?DDFDocuments/u/G/TBTN24/ARE634.DOCX", "https://docs.wto.org/imrd/directdoc.asp?DDFDocuments/u/G/TBTN24/ARE634.DOCX")</f>
      </c>
      <c r="Q1030" s="6">
        <f>HYPERLINK("https://docs.wto.org/imrd/directdoc.asp?DDFDocuments/v/G/TBTN24/ARE634.DOCX", "https://docs.wto.org/imrd/directdoc.asp?DDFDocuments/v/G/TBTN24/ARE634.DOCX")</f>
      </c>
    </row>
    <row r="1031">
      <c r="A1031" s="6" t="s">
        <v>3255</v>
      </c>
      <c r="B1031" s="7">
        <v>45594</v>
      </c>
      <c r="C1031" s="9">
        <f>HYPERLINK("https://eping.wto.org/en/Search?viewData= G/TBT/N/ARE/541/Add.2, G/TBT/N/BHR/633/Add.2, G/TBT/N/KWT/599/Add.2, G/TBT/N/OMN/469/Add.2, G/TBT/N/QAT/620/Add.2, G/TBT/N/SAU/1248/Add.2, G/TBT/N/YEM/227/Add.2"," G/TBT/N/ARE/541/Add.2, G/TBT/N/BHR/633/Add.2, G/TBT/N/KWT/599/Add.2, G/TBT/N/OMN/469/Add.2, G/TBT/N/QAT/620/Add.2, G/TBT/N/SAU/1248/Add.2, G/TBT/N/YEM/227/Add.2")</f>
      </c>
      <c r="D1031" s="8" t="s">
        <v>3831</v>
      </c>
      <c r="E1031" s="8" t="s">
        <v>3832</v>
      </c>
      <c r="F1031" s="8" t="s">
        <v>3777</v>
      </c>
      <c r="G1031" s="8" t="s">
        <v>22</v>
      </c>
      <c r="H1031" s="8" t="s">
        <v>3833</v>
      </c>
      <c r="I1031" s="8" t="s">
        <v>760</v>
      </c>
      <c r="J1031" s="8" t="s">
        <v>3876</v>
      </c>
      <c r="K1031" s="6"/>
      <c r="L1031" s="7" t="s">
        <v>22</v>
      </c>
      <c r="M1031" s="6" t="s">
        <v>40</v>
      </c>
      <c r="N1031" s="8" t="s">
        <v>3834</v>
      </c>
      <c r="O1031" s="6">
        <f>HYPERLINK("https://docs.wto.org/imrd/directdoc.asp?DDFDocuments/t/G/TBTN22/ARE541A2.DOCX", "https://docs.wto.org/imrd/directdoc.asp?DDFDocuments/t/G/TBTN22/ARE541A2.DOCX")</f>
      </c>
      <c r="P1031" s="6">
        <f>HYPERLINK("https://docs.wto.org/imrd/directdoc.asp?DDFDocuments/u/G/TBTN22/ARE541A2.DOCX", "https://docs.wto.org/imrd/directdoc.asp?DDFDocuments/u/G/TBTN22/ARE541A2.DOCX")</f>
      </c>
      <c r="Q1031" s="6">
        <f>HYPERLINK("https://docs.wto.org/imrd/directdoc.asp?DDFDocuments/v/G/TBTN22/ARE541A2.DOCX", "https://docs.wto.org/imrd/directdoc.asp?DDFDocuments/v/G/TBTN22/ARE541A2.DOCX")</f>
      </c>
    </row>
    <row r="1032">
      <c r="A1032" s="6" t="s">
        <v>226</v>
      </c>
      <c r="B1032" s="7">
        <v>45594</v>
      </c>
      <c r="C1032" s="9">
        <f>HYPERLINK("https://eping.wto.org/en/Search?viewData= G/TBT/N/ARE/541/Add.2, G/TBT/N/BHR/633/Add.2, G/TBT/N/KWT/599/Add.2, G/TBT/N/OMN/469/Add.2, G/TBT/N/QAT/620/Add.2, G/TBT/N/SAU/1248/Add.2, G/TBT/N/YEM/227/Add.2"," G/TBT/N/ARE/541/Add.2, G/TBT/N/BHR/633/Add.2, G/TBT/N/KWT/599/Add.2, G/TBT/N/OMN/469/Add.2, G/TBT/N/QAT/620/Add.2, G/TBT/N/SAU/1248/Add.2, G/TBT/N/YEM/227/Add.2")</f>
      </c>
      <c r="D1032" s="8" t="s">
        <v>3831</v>
      </c>
      <c r="E1032" s="8" t="s">
        <v>3832</v>
      </c>
      <c r="F1032" s="8" t="s">
        <v>3777</v>
      </c>
      <c r="G1032" s="8" t="s">
        <v>22</v>
      </c>
      <c r="H1032" s="8" t="s">
        <v>3833</v>
      </c>
      <c r="I1032" s="8" t="s">
        <v>760</v>
      </c>
      <c r="J1032" s="8" t="s">
        <v>81</v>
      </c>
      <c r="K1032" s="6"/>
      <c r="L1032" s="7" t="s">
        <v>22</v>
      </c>
      <c r="M1032" s="6" t="s">
        <v>40</v>
      </c>
      <c r="N1032" s="8" t="s">
        <v>3834</v>
      </c>
      <c r="O1032" s="6">
        <f>HYPERLINK("https://docs.wto.org/imrd/directdoc.asp?DDFDocuments/t/G/TBTN22/ARE541A2.DOCX", "https://docs.wto.org/imrd/directdoc.asp?DDFDocuments/t/G/TBTN22/ARE541A2.DOCX")</f>
      </c>
      <c r="P1032" s="6">
        <f>HYPERLINK("https://docs.wto.org/imrd/directdoc.asp?DDFDocuments/u/G/TBTN22/ARE541A2.DOCX", "https://docs.wto.org/imrd/directdoc.asp?DDFDocuments/u/G/TBTN22/ARE541A2.DOCX")</f>
      </c>
      <c r="Q1032" s="6">
        <f>HYPERLINK("https://docs.wto.org/imrd/directdoc.asp?DDFDocuments/v/G/TBTN22/ARE541A2.DOCX", "https://docs.wto.org/imrd/directdoc.asp?DDFDocuments/v/G/TBTN22/ARE541A2.DOCX")</f>
      </c>
    </row>
    <row r="1033">
      <c r="A1033" s="6" t="s">
        <v>226</v>
      </c>
      <c r="B1033" s="7">
        <v>45593</v>
      </c>
      <c r="C1033" s="9">
        <f>HYPERLINK("https://eping.wto.org/en/Search?viewData= G/TBT/N/ARE/632, G/TBT/N/BHR/717, G/TBT/N/KWT/696, G/TBT/N/OMN/540, G/TBT/N/QAT/691, G/TBT/N/SAU/1361, G/TBT/N/YEM/297"," G/TBT/N/ARE/632, G/TBT/N/BHR/717, G/TBT/N/KWT/696, G/TBT/N/OMN/540, G/TBT/N/QAT/691, G/TBT/N/SAU/1361, G/TBT/N/YEM/297")</f>
      </c>
      <c r="D1033" s="8" t="s">
        <v>3883</v>
      </c>
      <c r="E1033" s="8" t="s">
        <v>3884</v>
      </c>
      <c r="F1033" s="8" t="s">
        <v>3885</v>
      </c>
      <c r="G1033" s="8" t="s">
        <v>22</v>
      </c>
      <c r="H1033" s="8" t="s">
        <v>2534</v>
      </c>
      <c r="I1033" s="8" t="s">
        <v>641</v>
      </c>
      <c r="J1033" s="8" t="s">
        <v>58</v>
      </c>
      <c r="K1033" s="6"/>
      <c r="L1033" s="7">
        <v>45653</v>
      </c>
      <c r="M1033" s="6" t="s">
        <v>32</v>
      </c>
      <c r="N1033" s="8" t="s">
        <v>3886</v>
      </c>
      <c r="O1033" s="6">
        <f>HYPERLINK("https://docs.wto.org/imrd/directdoc.asp?DDFDocuments/t/G/TBTN24/ARE632.DOCX", "https://docs.wto.org/imrd/directdoc.asp?DDFDocuments/t/G/TBTN24/ARE632.DOCX")</f>
      </c>
      <c r="P1033" s="6">
        <f>HYPERLINK("https://docs.wto.org/imrd/directdoc.asp?DDFDocuments/u/G/TBTN24/ARE632.DOCX", "https://docs.wto.org/imrd/directdoc.asp?DDFDocuments/u/G/TBTN24/ARE632.DOCX")</f>
      </c>
      <c r="Q1033" s="6">
        <f>HYPERLINK("https://docs.wto.org/imrd/directdoc.asp?DDFDocuments/v/G/TBTN24/ARE632.DOCX", "https://docs.wto.org/imrd/directdoc.asp?DDFDocuments/v/G/TBTN24/ARE632.DOCX")</f>
      </c>
    </row>
    <row r="1034">
      <c r="A1034" s="6" t="s">
        <v>472</v>
      </c>
      <c r="B1034" s="7">
        <v>45593</v>
      </c>
      <c r="C1034" s="9">
        <f>HYPERLINK("https://eping.wto.org/en/Search?viewData= G/TBT/N/JPN/840"," G/TBT/N/JPN/840")</f>
      </c>
      <c r="D1034" s="8" t="s">
        <v>3887</v>
      </c>
      <c r="E1034" s="8" t="s">
        <v>3888</v>
      </c>
      <c r="F1034" s="8" t="s">
        <v>3889</v>
      </c>
      <c r="G1034" s="8" t="s">
        <v>22</v>
      </c>
      <c r="H1034" s="8" t="s">
        <v>3890</v>
      </c>
      <c r="I1034" s="8" t="s">
        <v>138</v>
      </c>
      <c r="J1034" s="8" t="s">
        <v>22</v>
      </c>
      <c r="K1034" s="6"/>
      <c r="L1034" s="7">
        <v>45653</v>
      </c>
      <c r="M1034" s="6" t="s">
        <v>32</v>
      </c>
      <c r="N1034" s="8" t="s">
        <v>3891</v>
      </c>
      <c r="O1034" s="6">
        <f>HYPERLINK("https://docs.wto.org/imrd/directdoc.asp?DDFDocuments/t/G/TBTN24/JPN840.DOCX", "https://docs.wto.org/imrd/directdoc.asp?DDFDocuments/t/G/TBTN24/JPN840.DOCX")</f>
      </c>
      <c r="P1034" s="6">
        <f>HYPERLINK("https://docs.wto.org/imrd/directdoc.asp?DDFDocuments/u/G/TBTN24/JPN840.DOCX", "https://docs.wto.org/imrd/directdoc.asp?DDFDocuments/u/G/TBTN24/JPN840.DOCX")</f>
      </c>
      <c r="Q1034" s="6">
        <f>HYPERLINK("https://docs.wto.org/imrd/directdoc.asp?DDFDocuments/v/G/TBTN24/JPN840.DOCX", "https://docs.wto.org/imrd/directdoc.asp?DDFDocuments/v/G/TBTN24/JPN840.DOCX")</f>
      </c>
    </row>
    <row r="1035">
      <c r="A1035" s="6" t="s">
        <v>3272</v>
      </c>
      <c r="B1035" s="7">
        <v>45593</v>
      </c>
      <c r="C1035" s="9">
        <f>HYPERLINK("https://eping.wto.org/en/Search?viewData= G/TBT/N/ARE/633, G/TBT/N/BHR/718, G/TBT/N/KWT/697, G/TBT/N/OMN/541, G/TBT/N/QAT/692, G/TBT/N/SAU/1362, G/TBT/N/YEM/298"," G/TBT/N/ARE/633, G/TBT/N/BHR/718, G/TBT/N/KWT/697, G/TBT/N/OMN/541, G/TBT/N/QAT/692, G/TBT/N/SAU/1362, G/TBT/N/YEM/298")</f>
      </c>
      <c r="D1035" s="8" t="s">
        <v>3892</v>
      </c>
      <c r="E1035" s="8" t="s">
        <v>3893</v>
      </c>
      <c r="F1035" s="8" t="s">
        <v>3894</v>
      </c>
      <c r="G1035" s="8" t="s">
        <v>22</v>
      </c>
      <c r="H1035" s="8" t="s">
        <v>3895</v>
      </c>
      <c r="I1035" s="8" t="s">
        <v>641</v>
      </c>
      <c r="J1035" s="8" t="s">
        <v>58</v>
      </c>
      <c r="K1035" s="6"/>
      <c r="L1035" s="7">
        <v>45653</v>
      </c>
      <c r="M1035" s="6" t="s">
        <v>32</v>
      </c>
      <c r="N1035" s="8" t="s">
        <v>3896</v>
      </c>
      <c r="O1035" s="6">
        <f>HYPERLINK("https://docs.wto.org/imrd/directdoc.asp?DDFDocuments/t/G/TBTN24/ARE633.DOCX", "https://docs.wto.org/imrd/directdoc.asp?DDFDocuments/t/G/TBTN24/ARE633.DOCX")</f>
      </c>
      <c r="P1035" s="6">
        <f>HYPERLINK("https://docs.wto.org/imrd/directdoc.asp?DDFDocuments/u/G/TBTN24/ARE633.DOCX", "https://docs.wto.org/imrd/directdoc.asp?DDFDocuments/u/G/TBTN24/ARE633.DOCX")</f>
      </c>
      <c r="Q1035" s="6">
        <f>HYPERLINK("https://docs.wto.org/imrd/directdoc.asp?DDFDocuments/v/G/TBTN24/ARE633.DOCX", "https://docs.wto.org/imrd/directdoc.asp?DDFDocuments/v/G/TBTN24/ARE633.DOCX")</f>
      </c>
    </row>
    <row r="1036">
      <c r="A1036" s="6" t="s">
        <v>3255</v>
      </c>
      <c r="B1036" s="7">
        <v>45593</v>
      </c>
      <c r="C1036" s="9">
        <f>HYPERLINK("https://eping.wto.org/en/Search?viewData= G/TBT/N/KWT/698"," G/TBT/N/KWT/698")</f>
      </c>
      <c r="D1036" s="8" t="s">
        <v>3897</v>
      </c>
      <c r="E1036" s="8" t="s">
        <v>3898</v>
      </c>
      <c r="F1036" s="8" t="s">
        <v>3899</v>
      </c>
      <c r="G1036" s="8" t="s">
        <v>22</v>
      </c>
      <c r="H1036" s="8" t="s">
        <v>3900</v>
      </c>
      <c r="I1036" s="8" t="s">
        <v>1482</v>
      </c>
      <c r="J1036" s="8" t="s">
        <v>22</v>
      </c>
      <c r="K1036" s="6"/>
      <c r="L1036" s="7">
        <v>45653</v>
      </c>
      <c r="M1036" s="6" t="s">
        <v>32</v>
      </c>
      <c r="N1036" s="8" t="s">
        <v>3901</v>
      </c>
      <c r="O1036" s="6">
        <f>HYPERLINK("https://docs.wto.org/imrd/directdoc.asp?DDFDocuments/t/G/TBTN24/KWT698.DOCX", "https://docs.wto.org/imrd/directdoc.asp?DDFDocuments/t/G/TBTN24/KWT698.DOCX")</f>
      </c>
      <c r="P1036" s="6">
        <f>HYPERLINK("https://docs.wto.org/imrd/directdoc.asp?DDFDocuments/u/G/TBTN24/KWT698.DOCX", "https://docs.wto.org/imrd/directdoc.asp?DDFDocuments/u/G/TBTN24/KWT698.DOCX")</f>
      </c>
      <c r="Q1036" s="6">
        <f>HYPERLINK("https://docs.wto.org/imrd/directdoc.asp?DDFDocuments/v/G/TBTN24/KWT698.DOCX", "https://docs.wto.org/imrd/directdoc.asp?DDFDocuments/v/G/TBTN24/KWT698.DOCX")</f>
      </c>
    </row>
    <row r="1037">
      <c r="A1037" s="6" t="s">
        <v>496</v>
      </c>
      <c r="B1037" s="7">
        <v>45593</v>
      </c>
      <c r="C1037" s="9">
        <f>HYPERLINK("https://eping.wto.org/en/Search?viewData= G/TBT/N/GBR/87/Add.1"," G/TBT/N/GBR/87/Add.1")</f>
      </c>
      <c r="D1037" s="8" t="s">
        <v>3902</v>
      </c>
      <c r="E1037" s="8" t="s">
        <v>22</v>
      </c>
      <c r="F1037" s="8" t="s">
        <v>3903</v>
      </c>
      <c r="G1037" s="8" t="s">
        <v>3904</v>
      </c>
      <c r="H1037" s="8" t="s">
        <v>3905</v>
      </c>
      <c r="I1037" s="8" t="s">
        <v>3262</v>
      </c>
      <c r="J1037" s="8" t="s">
        <v>22</v>
      </c>
      <c r="K1037" s="6"/>
      <c r="L1037" s="7" t="s">
        <v>22</v>
      </c>
      <c r="M1037" s="6" t="s">
        <v>40</v>
      </c>
      <c r="N1037" s="8" t="s">
        <v>3906</v>
      </c>
      <c r="O1037" s="6">
        <f>HYPERLINK("https://docs.wto.org/imrd/directdoc.asp?DDFDocuments/t/G/TBTN24/GBR87A1.DOCX", "https://docs.wto.org/imrd/directdoc.asp?DDFDocuments/t/G/TBTN24/GBR87A1.DOCX")</f>
      </c>
      <c r="P1037" s="6">
        <f>HYPERLINK("https://docs.wto.org/imrd/directdoc.asp?DDFDocuments/u/G/TBTN24/GBR87A1.DOCX", "https://docs.wto.org/imrd/directdoc.asp?DDFDocuments/u/G/TBTN24/GBR87A1.DOCX")</f>
      </c>
      <c r="Q1037" s="6">
        <f>HYPERLINK("https://docs.wto.org/imrd/directdoc.asp?DDFDocuments/v/G/TBTN24/GBR87A1.DOCX", "https://docs.wto.org/imrd/directdoc.asp?DDFDocuments/v/G/TBTN24/GBR87A1.DOCX")</f>
      </c>
    </row>
    <row r="1038">
      <c r="A1038" s="6" t="s">
        <v>3272</v>
      </c>
      <c r="B1038" s="7">
        <v>45593</v>
      </c>
      <c r="C1038" s="9">
        <f>HYPERLINK("https://eping.wto.org/en/Search?viewData= G/TBT/N/ARE/632, G/TBT/N/BHR/717, G/TBT/N/KWT/696, G/TBT/N/OMN/540, G/TBT/N/QAT/691, G/TBT/N/SAU/1361, G/TBT/N/YEM/297"," G/TBT/N/ARE/632, G/TBT/N/BHR/717, G/TBT/N/KWT/696, G/TBT/N/OMN/540, G/TBT/N/QAT/691, G/TBT/N/SAU/1361, G/TBT/N/YEM/297")</f>
      </c>
      <c r="D1038" s="8" t="s">
        <v>3883</v>
      </c>
      <c r="E1038" s="8" t="s">
        <v>3884</v>
      </c>
      <c r="F1038" s="8" t="s">
        <v>3885</v>
      </c>
      <c r="G1038" s="8" t="s">
        <v>22</v>
      </c>
      <c r="H1038" s="8" t="s">
        <v>2534</v>
      </c>
      <c r="I1038" s="8" t="s">
        <v>641</v>
      </c>
      <c r="J1038" s="8" t="s">
        <v>58</v>
      </c>
      <c r="K1038" s="6"/>
      <c r="L1038" s="7">
        <v>45653</v>
      </c>
      <c r="M1038" s="6" t="s">
        <v>32</v>
      </c>
      <c r="N1038" s="8" t="s">
        <v>3907</v>
      </c>
      <c r="O1038" s="6">
        <f>HYPERLINK("https://docs.wto.org/imrd/directdoc.asp?DDFDocuments/t/G/TBTN24/ARE632.DOCX", "https://docs.wto.org/imrd/directdoc.asp?DDFDocuments/t/G/TBTN24/ARE632.DOCX")</f>
      </c>
      <c r="P1038" s="6">
        <f>HYPERLINK("https://docs.wto.org/imrd/directdoc.asp?DDFDocuments/u/G/TBTN24/ARE632.DOCX", "https://docs.wto.org/imrd/directdoc.asp?DDFDocuments/u/G/TBTN24/ARE632.DOCX")</f>
      </c>
      <c r="Q1038" s="6">
        <f>HYPERLINK("https://docs.wto.org/imrd/directdoc.asp?DDFDocuments/v/G/TBTN24/ARE632.DOCX", "https://docs.wto.org/imrd/directdoc.asp?DDFDocuments/v/G/TBTN24/ARE632.DOCX")</f>
      </c>
    </row>
    <row r="1039">
      <c r="A1039" s="6" t="s">
        <v>2789</v>
      </c>
      <c r="B1039" s="7">
        <v>45593</v>
      </c>
      <c r="C1039" s="9">
        <f>HYPERLINK("https://eping.wto.org/en/Search?viewData= G/TBT/N/MMR/10"," G/TBT/N/MMR/10")</f>
      </c>
      <c r="D1039" s="8" t="s">
        <v>3908</v>
      </c>
      <c r="E1039" s="8" t="s">
        <v>3909</v>
      </c>
      <c r="F1039" s="8" t="s">
        <v>3910</v>
      </c>
      <c r="G1039" s="8" t="s">
        <v>3911</v>
      </c>
      <c r="H1039" s="8" t="s">
        <v>3912</v>
      </c>
      <c r="I1039" s="8" t="s">
        <v>138</v>
      </c>
      <c r="J1039" s="8" t="s">
        <v>58</v>
      </c>
      <c r="K1039" s="6"/>
      <c r="L1039" s="7" t="s">
        <v>22</v>
      </c>
      <c r="M1039" s="6" t="s">
        <v>32</v>
      </c>
      <c r="N1039" s="6"/>
      <c r="O1039" s="6">
        <f>HYPERLINK("https://docs.wto.org/imrd/directdoc.asp?DDFDocuments/t/G/TBTN24/MMR10.DOCX", "https://docs.wto.org/imrd/directdoc.asp?DDFDocuments/t/G/TBTN24/MMR10.DOCX")</f>
      </c>
      <c r="P1039" s="6">
        <f>HYPERLINK("https://docs.wto.org/imrd/directdoc.asp?DDFDocuments/u/G/TBTN24/MMR10.DOCX", "https://docs.wto.org/imrd/directdoc.asp?DDFDocuments/u/G/TBTN24/MMR10.DOCX")</f>
      </c>
      <c r="Q1039" s="6">
        <f>HYPERLINK("https://docs.wto.org/imrd/directdoc.asp?DDFDocuments/v/G/TBTN24/MMR10.DOCX", "https://docs.wto.org/imrd/directdoc.asp?DDFDocuments/v/G/TBTN24/MMR10.DOCX")</f>
      </c>
    </row>
    <row r="1040">
      <c r="A1040" s="6" t="s">
        <v>976</v>
      </c>
      <c r="B1040" s="7">
        <v>45593</v>
      </c>
      <c r="C1040" s="9">
        <f>HYPERLINK("https://eping.wto.org/en/Search?viewData= G/TBT/N/ARE/632, G/TBT/N/BHR/717, G/TBT/N/KWT/696, G/TBT/N/OMN/540, G/TBT/N/QAT/691, G/TBT/N/SAU/1361, G/TBT/N/YEM/297"," G/TBT/N/ARE/632, G/TBT/N/BHR/717, G/TBT/N/KWT/696, G/TBT/N/OMN/540, G/TBT/N/QAT/691, G/TBT/N/SAU/1361, G/TBT/N/YEM/297")</f>
      </c>
      <c r="D1040" s="8" t="s">
        <v>3883</v>
      </c>
      <c r="E1040" s="8" t="s">
        <v>3884</v>
      </c>
      <c r="F1040" s="8" t="s">
        <v>3885</v>
      </c>
      <c r="G1040" s="8" t="s">
        <v>22</v>
      </c>
      <c r="H1040" s="8" t="s">
        <v>2534</v>
      </c>
      <c r="I1040" s="8" t="s">
        <v>641</v>
      </c>
      <c r="J1040" s="8" t="s">
        <v>58</v>
      </c>
      <c r="K1040" s="6"/>
      <c r="L1040" s="7">
        <v>45653</v>
      </c>
      <c r="M1040" s="6" t="s">
        <v>32</v>
      </c>
      <c r="N1040" s="8" t="s">
        <v>3886</v>
      </c>
      <c r="O1040" s="6">
        <f>HYPERLINK("https://docs.wto.org/imrd/directdoc.asp?DDFDocuments/t/G/TBTN24/ARE632.DOCX", "https://docs.wto.org/imrd/directdoc.asp?DDFDocuments/t/G/TBTN24/ARE632.DOCX")</f>
      </c>
      <c r="P1040" s="6">
        <f>HYPERLINK("https://docs.wto.org/imrd/directdoc.asp?DDFDocuments/u/G/TBTN24/ARE632.DOCX", "https://docs.wto.org/imrd/directdoc.asp?DDFDocuments/u/G/TBTN24/ARE632.DOCX")</f>
      </c>
      <c r="Q1040" s="6">
        <f>HYPERLINK("https://docs.wto.org/imrd/directdoc.asp?DDFDocuments/v/G/TBTN24/ARE632.DOCX", "https://docs.wto.org/imrd/directdoc.asp?DDFDocuments/v/G/TBTN24/ARE632.DOCX")</f>
      </c>
    </row>
    <row r="1041">
      <c r="A1041" s="6" t="s">
        <v>1982</v>
      </c>
      <c r="B1041" s="7">
        <v>45593</v>
      </c>
      <c r="C1041" s="9">
        <f>HYPERLINK("https://eping.wto.org/en/Search?viewData= G/TBT/N/ARE/632, G/TBT/N/BHR/717, G/TBT/N/KWT/696, G/TBT/N/OMN/540, G/TBT/N/QAT/691, G/TBT/N/SAU/1361, G/TBT/N/YEM/297"," G/TBT/N/ARE/632, G/TBT/N/BHR/717, G/TBT/N/KWT/696, G/TBT/N/OMN/540, G/TBT/N/QAT/691, G/TBT/N/SAU/1361, G/TBT/N/YEM/297")</f>
      </c>
      <c r="D1041" s="8" t="s">
        <v>3883</v>
      </c>
      <c r="E1041" s="8" t="s">
        <v>3884</v>
      </c>
      <c r="F1041" s="8" t="s">
        <v>3885</v>
      </c>
      <c r="G1041" s="8" t="s">
        <v>22</v>
      </c>
      <c r="H1041" s="8" t="s">
        <v>2534</v>
      </c>
      <c r="I1041" s="8" t="s">
        <v>641</v>
      </c>
      <c r="J1041" s="8" t="s">
        <v>58</v>
      </c>
      <c r="K1041" s="6"/>
      <c r="L1041" s="7">
        <v>45653</v>
      </c>
      <c r="M1041" s="6" t="s">
        <v>32</v>
      </c>
      <c r="N1041" s="8" t="s">
        <v>3886</v>
      </c>
      <c r="O1041" s="6">
        <f>HYPERLINK("https://docs.wto.org/imrd/directdoc.asp?DDFDocuments/t/G/TBTN24/ARE632.DOCX", "https://docs.wto.org/imrd/directdoc.asp?DDFDocuments/t/G/TBTN24/ARE632.DOCX")</f>
      </c>
      <c r="P1041" s="6">
        <f>HYPERLINK("https://docs.wto.org/imrd/directdoc.asp?DDFDocuments/u/G/TBTN24/ARE632.DOCX", "https://docs.wto.org/imrd/directdoc.asp?DDFDocuments/u/G/TBTN24/ARE632.DOCX")</f>
      </c>
      <c r="Q1041" s="6">
        <f>HYPERLINK("https://docs.wto.org/imrd/directdoc.asp?DDFDocuments/v/G/TBTN24/ARE632.DOCX", "https://docs.wto.org/imrd/directdoc.asp?DDFDocuments/v/G/TBTN24/ARE632.DOCX")</f>
      </c>
    </row>
    <row r="1042">
      <c r="A1042" s="6" t="s">
        <v>1982</v>
      </c>
      <c r="B1042" s="7">
        <v>45593</v>
      </c>
      <c r="C1042" s="9">
        <f>HYPERLINK("https://eping.wto.org/en/Search?viewData= G/TBT/N/ARE/633, G/TBT/N/BHR/718, G/TBT/N/KWT/697, G/TBT/N/OMN/541, G/TBT/N/QAT/692, G/TBT/N/SAU/1362, G/TBT/N/YEM/298"," G/TBT/N/ARE/633, G/TBT/N/BHR/718, G/TBT/N/KWT/697, G/TBT/N/OMN/541, G/TBT/N/QAT/692, G/TBT/N/SAU/1362, G/TBT/N/YEM/298")</f>
      </c>
      <c r="D1042" s="8" t="s">
        <v>3892</v>
      </c>
      <c r="E1042" s="8" t="s">
        <v>3893</v>
      </c>
      <c r="F1042" s="8" t="s">
        <v>3894</v>
      </c>
      <c r="G1042" s="8" t="s">
        <v>22</v>
      </c>
      <c r="H1042" s="8" t="s">
        <v>3895</v>
      </c>
      <c r="I1042" s="8" t="s">
        <v>641</v>
      </c>
      <c r="J1042" s="8" t="s">
        <v>58</v>
      </c>
      <c r="K1042" s="6"/>
      <c r="L1042" s="7">
        <v>45653</v>
      </c>
      <c r="M1042" s="6" t="s">
        <v>32</v>
      </c>
      <c r="N1042" s="8" t="s">
        <v>3896</v>
      </c>
      <c r="O1042" s="6">
        <f>HYPERLINK("https://docs.wto.org/imrd/directdoc.asp?DDFDocuments/t/G/TBTN24/ARE633.DOCX", "https://docs.wto.org/imrd/directdoc.asp?DDFDocuments/t/G/TBTN24/ARE633.DOCX")</f>
      </c>
      <c r="P1042" s="6">
        <f>HYPERLINK("https://docs.wto.org/imrd/directdoc.asp?DDFDocuments/u/G/TBTN24/ARE633.DOCX", "https://docs.wto.org/imrd/directdoc.asp?DDFDocuments/u/G/TBTN24/ARE633.DOCX")</f>
      </c>
      <c r="Q1042" s="6">
        <f>HYPERLINK("https://docs.wto.org/imrd/directdoc.asp?DDFDocuments/v/G/TBTN24/ARE633.DOCX", "https://docs.wto.org/imrd/directdoc.asp?DDFDocuments/v/G/TBTN24/ARE633.DOCX")</f>
      </c>
    </row>
    <row r="1043">
      <c r="A1043" s="6" t="s">
        <v>82</v>
      </c>
      <c r="B1043" s="7">
        <v>45593</v>
      </c>
      <c r="C1043" s="9">
        <f>HYPERLINK("https://eping.wto.org/en/Search?viewData= G/TBT/N/BRA/1573"," G/TBT/N/BRA/1573")</f>
      </c>
      <c r="D1043" s="8" t="s">
        <v>3913</v>
      </c>
      <c r="E1043" s="8" t="s">
        <v>3914</v>
      </c>
      <c r="F1043" s="8" t="s">
        <v>3915</v>
      </c>
      <c r="G1043" s="8" t="s">
        <v>22</v>
      </c>
      <c r="H1043" s="8" t="s">
        <v>3916</v>
      </c>
      <c r="I1043" s="8" t="s">
        <v>3917</v>
      </c>
      <c r="J1043" s="8" t="s">
        <v>58</v>
      </c>
      <c r="K1043" s="6"/>
      <c r="L1043" s="7" t="s">
        <v>22</v>
      </c>
      <c r="M1043" s="6" t="s">
        <v>32</v>
      </c>
      <c r="N1043" s="8" t="s">
        <v>3918</v>
      </c>
      <c r="O1043" s="6">
        <f>HYPERLINK("https://docs.wto.org/imrd/directdoc.asp?DDFDocuments/t/G/TBTN24/BRA1573.DOCX", "https://docs.wto.org/imrd/directdoc.asp?DDFDocuments/t/G/TBTN24/BRA1573.DOCX")</f>
      </c>
      <c r="P1043" s="6">
        <f>HYPERLINK("https://docs.wto.org/imrd/directdoc.asp?DDFDocuments/u/G/TBTN24/BRA1573.DOCX", "https://docs.wto.org/imrd/directdoc.asp?DDFDocuments/u/G/TBTN24/BRA1573.DOCX")</f>
      </c>
      <c r="Q1043" s="6">
        <f>HYPERLINK("https://docs.wto.org/imrd/directdoc.asp?DDFDocuments/v/G/TBTN24/BRA1573.DOCX", "https://docs.wto.org/imrd/directdoc.asp?DDFDocuments/v/G/TBTN24/BRA1573.DOCX")</f>
      </c>
    </row>
    <row r="1044">
      <c r="A1044" s="6" t="s">
        <v>3255</v>
      </c>
      <c r="B1044" s="7">
        <v>45593</v>
      </c>
      <c r="C1044" s="9">
        <f>HYPERLINK("https://eping.wto.org/en/Search?viewData= G/TBT/N/ARE/633, G/TBT/N/BHR/718, G/TBT/N/KWT/697, G/TBT/N/OMN/541, G/TBT/N/QAT/692, G/TBT/N/SAU/1362, G/TBT/N/YEM/298"," G/TBT/N/ARE/633, G/TBT/N/BHR/718, G/TBT/N/KWT/697, G/TBT/N/OMN/541, G/TBT/N/QAT/692, G/TBT/N/SAU/1362, G/TBT/N/YEM/298")</f>
      </c>
      <c r="D1044" s="8" t="s">
        <v>3892</v>
      </c>
      <c r="E1044" s="8" t="s">
        <v>3893</v>
      </c>
      <c r="F1044" s="8" t="s">
        <v>3894</v>
      </c>
      <c r="G1044" s="8" t="s">
        <v>22</v>
      </c>
      <c r="H1044" s="8" t="s">
        <v>3895</v>
      </c>
      <c r="I1044" s="8" t="s">
        <v>641</v>
      </c>
      <c r="J1044" s="8" t="s">
        <v>58</v>
      </c>
      <c r="K1044" s="6"/>
      <c r="L1044" s="7">
        <v>45653</v>
      </c>
      <c r="M1044" s="6" t="s">
        <v>32</v>
      </c>
      <c r="N1044" s="8" t="s">
        <v>3896</v>
      </c>
      <c r="O1044" s="6">
        <f>HYPERLINK("https://docs.wto.org/imrd/directdoc.asp?DDFDocuments/t/G/TBTN24/ARE633.DOCX", "https://docs.wto.org/imrd/directdoc.asp?DDFDocuments/t/G/TBTN24/ARE633.DOCX")</f>
      </c>
      <c r="P1044" s="6">
        <f>HYPERLINK("https://docs.wto.org/imrd/directdoc.asp?DDFDocuments/u/G/TBTN24/ARE633.DOCX", "https://docs.wto.org/imrd/directdoc.asp?DDFDocuments/u/G/TBTN24/ARE633.DOCX")</f>
      </c>
      <c r="Q1044" s="6">
        <f>HYPERLINK("https://docs.wto.org/imrd/directdoc.asp?DDFDocuments/v/G/TBTN24/ARE633.DOCX", "https://docs.wto.org/imrd/directdoc.asp?DDFDocuments/v/G/TBTN24/ARE633.DOCX")</f>
      </c>
    </row>
    <row r="1045">
      <c r="A1045" s="6" t="s">
        <v>400</v>
      </c>
      <c r="B1045" s="7">
        <v>45593</v>
      </c>
      <c r="C1045" s="9">
        <f>HYPERLINK("https://eping.wto.org/en/Search?viewData= G/TBT/N/USA/2154"," G/TBT/N/USA/2154")</f>
      </c>
      <c r="D1045" s="8" t="s">
        <v>3919</v>
      </c>
      <c r="E1045" s="8" t="s">
        <v>3920</v>
      </c>
      <c r="F1045" s="8" t="s">
        <v>3921</v>
      </c>
      <c r="G1045" s="8" t="s">
        <v>22</v>
      </c>
      <c r="H1045" s="8" t="s">
        <v>3922</v>
      </c>
      <c r="I1045" s="8" t="s">
        <v>641</v>
      </c>
      <c r="J1045" s="8" t="s">
        <v>22</v>
      </c>
      <c r="K1045" s="6"/>
      <c r="L1045" s="7">
        <v>45649</v>
      </c>
      <c r="M1045" s="6" t="s">
        <v>32</v>
      </c>
      <c r="N1045" s="8" t="s">
        <v>3923</v>
      </c>
      <c r="O1045" s="6">
        <f>HYPERLINK("https://docs.wto.org/imrd/directdoc.asp?DDFDocuments/t/G/TBTN24/USA2154.DOCX", "https://docs.wto.org/imrd/directdoc.asp?DDFDocuments/t/G/TBTN24/USA2154.DOCX")</f>
      </c>
      <c r="P1045" s="6">
        <f>HYPERLINK("https://docs.wto.org/imrd/directdoc.asp?DDFDocuments/u/G/TBTN24/USA2154.DOCX", "https://docs.wto.org/imrd/directdoc.asp?DDFDocuments/u/G/TBTN24/USA2154.DOCX")</f>
      </c>
      <c r="Q1045" s="6">
        <f>HYPERLINK("https://docs.wto.org/imrd/directdoc.asp?DDFDocuments/v/G/TBTN24/USA2154.DOCX", "https://docs.wto.org/imrd/directdoc.asp?DDFDocuments/v/G/TBTN24/USA2154.DOCX")</f>
      </c>
    </row>
    <row r="1046">
      <c r="A1046" s="6" t="s">
        <v>3271</v>
      </c>
      <c r="B1046" s="7">
        <v>45593</v>
      </c>
      <c r="C1046" s="9">
        <f>HYPERLINK("https://eping.wto.org/en/Search?viewData= G/TBT/N/ARE/633, G/TBT/N/BHR/718, G/TBT/N/KWT/697, G/TBT/N/OMN/541, G/TBT/N/QAT/692, G/TBT/N/SAU/1362, G/TBT/N/YEM/298"," G/TBT/N/ARE/633, G/TBT/N/BHR/718, G/TBT/N/KWT/697, G/TBT/N/OMN/541, G/TBT/N/QAT/692, G/TBT/N/SAU/1362, G/TBT/N/YEM/298")</f>
      </c>
      <c r="D1046" s="8" t="s">
        <v>3892</v>
      </c>
      <c r="E1046" s="8" t="s">
        <v>3893</v>
      </c>
      <c r="F1046" s="8" t="s">
        <v>3894</v>
      </c>
      <c r="G1046" s="8" t="s">
        <v>22</v>
      </c>
      <c r="H1046" s="8" t="s">
        <v>3895</v>
      </c>
      <c r="I1046" s="8" t="s">
        <v>641</v>
      </c>
      <c r="J1046" s="8" t="s">
        <v>58</v>
      </c>
      <c r="K1046" s="6"/>
      <c r="L1046" s="7">
        <v>45653</v>
      </c>
      <c r="M1046" s="6" t="s">
        <v>32</v>
      </c>
      <c r="N1046" s="8" t="s">
        <v>3896</v>
      </c>
      <c r="O1046" s="6">
        <f>HYPERLINK("https://docs.wto.org/imrd/directdoc.asp?DDFDocuments/t/G/TBTN24/ARE633.DOCX", "https://docs.wto.org/imrd/directdoc.asp?DDFDocuments/t/G/TBTN24/ARE633.DOCX")</f>
      </c>
      <c r="P1046" s="6">
        <f>HYPERLINK("https://docs.wto.org/imrd/directdoc.asp?DDFDocuments/u/G/TBTN24/ARE633.DOCX", "https://docs.wto.org/imrd/directdoc.asp?DDFDocuments/u/G/TBTN24/ARE633.DOCX")</f>
      </c>
      <c r="Q1046" s="6">
        <f>HYPERLINK("https://docs.wto.org/imrd/directdoc.asp?DDFDocuments/v/G/TBTN24/ARE633.DOCX", "https://docs.wto.org/imrd/directdoc.asp?DDFDocuments/v/G/TBTN24/ARE633.DOCX")</f>
      </c>
    </row>
    <row r="1047">
      <c r="A1047" s="6" t="s">
        <v>1339</v>
      </c>
      <c r="B1047" s="7">
        <v>45593</v>
      </c>
      <c r="C1047" s="9">
        <f>HYPERLINK("https://eping.wto.org/en/Search?viewData= G/TBT/N/ESP/52"," G/TBT/N/ESP/52")</f>
      </c>
      <c r="D1047" s="8" t="s">
        <v>3924</v>
      </c>
      <c r="E1047" s="8" t="s">
        <v>3925</v>
      </c>
      <c r="F1047" s="8" t="s">
        <v>3926</v>
      </c>
      <c r="G1047" s="8" t="s">
        <v>22</v>
      </c>
      <c r="H1047" s="8" t="s">
        <v>22</v>
      </c>
      <c r="I1047" s="8" t="s">
        <v>1276</v>
      </c>
      <c r="J1047" s="8" t="s">
        <v>22</v>
      </c>
      <c r="K1047" s="6"/>
      <c r="L1047" s="7">
        <v>45653</v>
      </c>
      <c r="M1047" s="6" t="s">
        <v>32</v>
      </c>
      <c r="N1047" s="8" t="s">
        <v>3927</v>
      </c>
      <c r="O1047" s="6">
        <f>HYPERLINK("https://docs.wto.org/imrd/directdoc.asp?DDFDocuments/t/G/TBTN24/ESP52.DOCX", "https://docs.wto.org/imrd/directdoc.asp?DDFDocuments/t/G/TBTN24/ESP52.DOCX")</f>
      </c>
      <c r="P1047" s="6">
        <f>HYPERLINK("https://docs.wto.org/imrd/directdoc.asp?DDFDocuments/u/G/TBTN24/ESP52.DOCX", "https://docs.wto.org/imrd/directdoc.asp?DDFDocuments/u/G/TBTN24/ESP52.DOCX")</f>
      </c>
      <c r="Q1047" s="6">
        <f>HYPERLINK("https://docs.wto.org/imrd/directdoc.asp?DDFDocuments/v/G/TBTN24/ESP52.DOCX", "https://docs.wto.org/imrd/directdoc.asp?DDFDocuments/v/G/TBTN24/ESP52.DOCX")</f>
      </c>
    </row>
    <row r="1048">
      <c r="A1048" s="6" t="s">
        <v>170</v>
      </c>
      <c r="B1048" s="7">
        <v>45593</v>
      </c>
      <c r="C1048" s="9">
        <f>HYPERLINK("https://eping.wto.org/en/Search?viewData= G/TBT/N/ARE/633, G/TBT/N/BHR/718, G/TBT/N/KWT/697, G/TBT/N/OMN/541, G/TBT/N/QAT/692, G/TBT/N/SAU/1362, G/TBT/N/YEM/298"," G/TBT/N/ARE/633, G/TBT/N/BHR/718, G/TBT/N/KWT/697, G/TBT/N/OMN/541, G/TBT/N/QAT/692, G/TBT/N/SAU/1362, G/TBT/N/YEM/298")</f>
      </c>
      <c r="D1048" s="8" t="s">
        <v>3892</v>
      </c>
      <c r="E1048" s="8" t="s">
        <v>3893</v>
      </c>
      <c r="F1048" s="8" t="s">
        <v>3894</v>
      </c>
      <c r="G1048" s="8" t="s">
        <v>22</v>
      </c>
      <c r="H1048" s="8" t="s">
        <v>3895</v>
      </c>
      <c r="I1048" s="8" t="s">
        <v>641</v>
      </c>
      <c r="J1048" s="8" t="s">
        <v>58</v>
      </c>
      <c r="K1048" s="6"/>
      <c r="L1048" s="7">
        <v>45653</v>
      </c>
      <c r="M1048" s="6" t="s">
        <v>32</v>
      </c>
      <c r="N1048" s="8" t="s">
        <v>3896</v>
      </c>
      <c r="O1048" s="6">
        <f>HYPERLINK("https://docs.wto.org/imrd/directdoc.asp?DDFDocuments/t/G/TBTN24/ARE633.DOCX", "https://docs.wto.org/imrd/directdoc.asp?DDFDocuments/t/G/TBTN24/ARE633.DOCX")</f>
      </c>
      <c r="P1048" s="6">
        <f>HYPERLINK("https://docs.wto.org/imrd/directdoc.asp?DDFDocuments/u/G/TBTN24/ARE633.DOCX", "https://docs.wto.org/imrd/directdoc.asp?DDFDocuments/u/G/TBTN24/ARE633.DOCX")</f>
      </c>
      <c r="Q1048" s="6">
        <f>HYPERLINK("https://docs.wto.org/imrd/directdoc.asp?DDFDocuments/v/G/TBTN24/ARE633.DOCX", "https://docs.wto.org/imrd/directdoc.asp?DDFDocuments/v/G/TBTN24/ARE633.DOCX")</f>
      </c>
    </row>
    <row r="1049">
      <c r="A1049" s="6" t="s">
        <v>400</v>
      </c>
      <c r="B1049" s="7">
        <v>45593</v>
      </c>
      <c r="C1049" s="9">
        <f>HYPERLINK("https://eping.wto.org/en/Search?viewData= G/TBT/N/USA/1862/Add.1/Corr.1"," G/TBT/N/USA/1862/Add.1/Corr.1")</f>
      </c>
      <c r="D1049" s="8" t="s">
        <v>3928</v>
      </c>
      <c r="E1049" s="8" t="s">
        <v>3929</v>
      </c>
      <c r="F1049" s="8" t="s">
        <v>3930</v>
      </c>
      <c r="G1049" s="8" t="s">
        <v>22</v>
      </c>
      <c r="H1049" s="8" t="s">
        <v>3931</v>
      </c>
      <c r="I1049" s="8" t="s">
        <v>596</v>
      </c>
      <c r="J1049" s="8" t="s">
        <v>22</v>
      </c>
      <c r="K1049" s="6"/>
      <c r="L1049" s="7" t="s">
        <v>22</v>
      </c>
      <c r="M1049" s="6" t="s">
        <v>248</v>
      </c>
      <c r="N1049" s="8" t="s">
        <v>3932</v>
      </c>
      <c r="O1049" s="6">
        <f>HYPERLINK("https://docs.wto.org/imrd/directdoc.asp?DDFDocuments/t/G/TBTN22/USA1862A1C1.DOCX", "https://docs.wto.org/imrd/directdoc.asp?DDFDocuments/t/G/TBTN22/USA1862A1C1.DOCX")</f>
      </c>
      <c r="P1049" s="6">
        <f>HYPERLINK("https://docs.wto.org/imrd/directdoc.asp?DDFDocuments/u/G/TBTN22/USA1862A1C1.DOCX", "https://docs.wto.org/imrd/directdoc.asp?DDFDocuments/u/G/TBTN22/USA1862A1C1.DOCX")</f>
      </c>
      <c r="Q1049" s="6">
        <f>HYPERLINK("https://docs.wto.org/imrd/directdoc.asp?DDFDocuments/v/G/TBTN22/USA1862A1C1.DOCX", "https://docs.wto.org/imrd/directdoc.asp?DDFDocuments/v/G/TBTN22/USA1862A1C1.DOCX")</f>
      </c>
    </row>
    <row r="1050">
      <c r="A1050" s="6" t="s">
        <v>3255</v>
      </c>
      <c r="B1050" s="7">
        <v>45593</v>
      </c>
      <c r="C1050" s="9">
        <f>HYPERLINK("https://eping.wto.org/en/Search?viewData= G/TBT/N/ARE/632, G/TBT/N/BHR/717, G/TBT/N/KWT/696, G/TBT/N/OMN/540, G/TBT/N/QAT/691, G/TBT/N/SAU/1361, G/TBT/N/YEM/297"," G/TBT/N/ARE/632, G/TBT/N/BHR/717, G/TBT/N/KWT/696, G/TBT/N/OMN/540, G/TBT/N/QAT/691, G/TBT/N/SAU/1361, G/TBT/N/YEM/297")</f>
      </c>
      <c r="D1050" s="8" t="s">
        <v>3883</v>
      </c>
      <c r="E1050" s="8" t="s">
        <v>3884</v>
      </c>
      <c r="F1050" s="8" t="s">
        <v>3885</v>
      </c>
      <c r="G1050" s="8" t="s">
        <v>22</v>
      </c>
      <c r="H1050" s="8" t="s">
        <v>2534</v>
      </c>
      <c r="I1050" s="8" t="s">
        <v>641</v>
      </c>
      <c r="J1050" s="8" t="s">
        <v>58</v>
      </c>
      <c r="K1050" s="6"/>
      <c r="L1050" s="7">
        <v>45653</v>
      </c>
      <c r="M1050" s="6" t="s">
        <v>32</v>
      </c>
      <c r="N1050" s="8" t="s">
        <v>3886</v>
      </c>
      <c r="O1050" s="6">
        <f>HYPERLINK("https://docs.wto.org/imrd/directdoc.asp?DDFDocuments/t/G/TBTN24/ARE632.DOCX", "https://docs.wto.org/imrd/directdoc.asp?DDFDocuments/t/G/TBTN24/ARE632.DOCX")</f>
      </c>
      <c r="P1050" s="6">
        <f>HYPERLINK("https://docs.wto.org/imrd/directdoc.asp?DDFDocuments/u/G/TBTN24/ARE632.DOCX", "https://docs.wto.org/imrd/directdoc.asp?DDFDocuments/u/G/TBTN24/ARE632.DOCX")</f>
      </c>
      <c r="Q1050" s="6">
        <f>HYPERLINK("https://docs.wto.org/imrd/directdoc.asp?DDFDocuments/v/G/TBTN24/ARE632.DOCX", "https://docs.wto.org/imrd/directdoc.asp?DDFDocuments/v/G/TBTN24/ARE632.DOCX")</f>
      </c>
    </row>
    <row r="1051">
      <c r="A1051" s="6" t="s">
        <v>3271</v>
      </c>
      <c r="B1051" s="7">
        <v>45593</v>
      </c>
      <c r="C1051" s="9">
        <f>HYPERLINK("https://eping.wto.org/en/Search?viewData= G/TBT/N/ARE/632, G/TBT/N/BHR/717, G/TBT/N/KWT/696, G/TBT/N/OMN/540, G/TBT/N/QAT/691, G/TBT/N/SAU/1361, G/TBT/N/YEM/297"," G/TBT/N/ARE/632, G/TBT/N/BHR/717, G/TBT/N/KWT/696, G/TBT/N/OMN/540, G/TBT/N/QAT/691, G/TBT/N/SAU/1361, G/TBT/N/YEM/297")</f>
      </c>
      <c r="D1051" s="8" t="s">
        <v>3883</v>
      </c>
      <c r="E1051" s="8" t="s">
        <v>3884</v>
      </c>
      <c r="F1051" s="8" t="s">
        <v>3885</v>
      </c>
      <c r="G1051" s="8" t="s">
        <v>22</v>
      </c>
      <c r="H1051" s="8" t="s">
        <v>2534</v>
      </c>
      <c r="I1051" s="8" t="s">
        <v>641</v>
      </c>
      <c r="J1051" s="8" t="s">
        <v>58</v>
      </c>
      <c r="K1051" s="6"/>
      <c r="L1051" s="7">
        <v>45653</v>
      </c>
      <c r="M1051" s="6" t="s">
        <v>32</v>
      </c>
      <c r="N1051" s="8" t="s">
        <v>3886</v>
      </c>
      <c r="O1051" s="6">
        <f>HYPERLINK("https://docs.wto.org/imrd/directdoc.asp?DDFDocuments/t/G/TBTN24/ARE632.DOCX", "https://docs.wto.org/imrd/directdoc.asp?DDFDocuments/t/G/TBTN24/ARE632.DOCX")</f>
      </c>
      <c r="P1051" s="6">
        <f>HYPERLINK("https://docs.wto.org/imrd/directdoc.asp?DDFDocuments/u/G/TBTN24/ARE632.DOCX", "https://docs.wto.org/imrd/directdoc.asp?DDFDocuments/u/G/TBTN24/ARE632.DOCX")</f>
      </c>
      <c r="Q1051" s="6">
        <f>HYPERLINK("https://docs.wto.org/imrd/directdoc.asp?DDFDocuments/v/G/TBTN24/ARE632.DOCX", "https://docs.wto.org/imrd/directdoc.asp?DDFDocuments/v/G/TBTN24/ARE632.DOCX")</f>
      </c>
    </row>
    <row r="1052">
      <c r="A1052" s="6" t="s">
        <v>343</v>
      </c>
      <c r="B1052" s="7">
        <v>45593</v>
      </c>
      <c r="C1052" s="9">
        <f>HYPERLINK("https://eping.wto.org/en/Search?viewData= G/TBT/N/THA/753"," G/TBT/N/THA/753")</f>
      </c>
      <c r="D1052" s="8" t="s">
        <v>3933</v>
      </c>
      <c r="E1052" s="8" t="s">
        <v>3934</v>
      </c>
      <c r="F1052" s="8" t="s">
        <v>3935</v>
      </c>
      <c r="G1052" s="8" t="s">
        <v>3936</v>
      </c>
      <c r="H1052" s="8" t="s">
        <v>3937</v>
      </c>
      <c r="I1052" s="8" t="s">
        <v>641</v>
      </c>
      <c r="J1052" s="8" t="s">
        <v>22</v>
      </c>
      <c r="K1052" s="6"/>
      <c r="L1052" s="7">
        <v>45653</v>
      </c>
      <c r="M1052" s="6" t="s">
        <v>32</v>
      </c>
      <c r="N1052" s="8" t="s">
        <v>3938</v>
      </c>
      <c r="O1052" s="6">
        <f>HYPERLINK("https://docs.wto.org/imrd/directdoc.asp?DDFDocuments/t/G/TBTN24/THA753.DOCX", "https://docs.wto.org/imrd/directdoc.asp?DDFDocuments/t/G/TBTN24/THA753.DOCX")</f>
      </c>
      <c r="P1052" s="6">
        <f>HYPERLINK("https://docs.wto.org/imrd/directdoc.asp?DDFDocuments/u/G/TBTN24/THA753.DOCX", "https://docs.wto.org/imrd/directdoc.asp?DDFDocuments/u/G/TBTN24/THA753.DOCX")</f>
      </c>
      <c r="Q1052" s="6">
        <f>HYPERLINK("https://docs.wto.org/imrd/directdoc.asp?DDFDocuments/v/G/TBTN24/THA753.DOCX", "https://docs.wto.org/imrd/directdoc.asp?DDFDocuments/v/G/TBTN24/THA753.DOCX")</f>
      </c>
    </row>
    <row r="1053">
      <c r="A1053" s="6" t="s">
        <v>818</v>
      </c>
      <c r="B1053" s="7">
        <v>45593</v>
      </c>
      <c r="C1053" s="9">
        <f>HYPERLINK("https://eping.wto.org/en/Search?viewData= G/TBT/N/SLV/230"," G/TBT/N/SLV/230")</f>
      </c>
      <c r="D1053" s="8" t="s">
        <v>3939</v>
      </c>
      <c r="E1053" s="8" t="s">
        <v>3940</v>
      </c>
      <c r="F1053" s="8" t="s">
        <v>3941</v>
      </c>
      <c r="G1053" s="8" t="s">
        <v>22</v>
      </c>
      <c r="H1053" s="8" t="s">
        <v>3942</v>
      </c>
      <c r="I1053" s="8" t="s">
        <v>511</v>
      </c>
      <c r="J1053" s="8" t="s">
        <v>22</v>
      </c>
      <c r="K1053" s="6"/>
      <c r="L1053" s="7">
        <v>45653</v>
      </c>
      <c r="M1053" s="6" t="s">
        <v>32</v>
      </c>
      <c r="N1053" s="8" t="s">
        <v>3943</v>
      </c>
      <c r="O1053" s="6">
        <f>HYPERLINK("https://docs.wto.org/imrd/directdoc.asp?DDFDocuments/t/G/TBTN24/SLV230.DOCX", "https://docs.wto.org/imrd/directdoc.asp?DDFDocuments/t/G/TBTN24/SLV230.DOCX")</f>
      </c>
      <c r="P1053" s="6">
        <f>HYPERLINK("https://docs.wto.org/imrd/directdoc.asp?DDFDocuments/u/G/TBTN24/SLV230.DOCX", "https://docs.wto.org/imrd/directdoc.asp?DDFDocuments/u/G/TBTN24/SLV230.DOCX")</f>
      </c>
      <c r="Q1053" s="6">
        <f>HYPERLINK("https://docs.wto.org/imrd/directdoc.asp?DDFDocuments/v/G/TBTN24/SLV230.DOCX", "https://docs.wto.org/imrd/directdoc.asp?DDFDocuments/v/G/TBTN24/SLV230.DOCX")</f>
      </c>
    </row>
    <row r="1054">
      <c r="A1054" s="6" t="s">
        <v>226</v>
      </c>
      <c r="B1054" s="7">
        <v>45593</v>
      </c>
      <c r="C1054" s="9">
        <f>HYPERLINK("https://eping.wto.org/en/Search?viewData= G/TBT/N/ARE/633, G/TBT/N/BHR/718, G/TBT/N/KWT/697, G/TBT/N/OMN/541, G/TBT/N/QAT/692, G/TBT/N/SAU/1362, G/TBT/N/YEM/298"," G/TBT/N/ARE/633, G/TBT/N/BHR/718, G/TBT/N/KWT/697, G/TBT/N/OMN/541, G/TBT/N/QAT/692, G/TBT/N/SAU/1362, G/TBT/N/YEM/298")</f>
      </c>
      <c r="D1054" s="8" t="s">
        <v>3892</v>
      </c>
      <c r="E1054" s="8" t="s">
        <v>3893</v>
      </c>
      <c r="F1054" s="8" t="s">
        <v>3894</v>
      </c>
      <c r="G1054" s="8" t="s">
        <v>22</v>
      </c>
      <c r="H1054" s="8" t="s">
        <v>3895</v>
      </c>
      <c r="I1054" s="8" t="s">
        <v>641</v>
      </c>
      <c r="J1054" s="8" t="s">
        <v>58</v>
      </c>
      <c r="K1054" s="6"/>
      <c r="L1054" s="7">
        <v>45653</v>
      </c>
      <c r="M1054" s="6" t="s">
        <v>32</v>
      </c>
      <c r="N1054" s="8" t="s">
        <v>3896</v>
      </c>
      <c r="O1054" s="6">
        <f>HYPERLINK("https://docs.wto.org/imrd/directdoc.asp?DDFDocuments/t/G/TBTN24/ARE633.DOCX", "https://docs.wto.org/imrd/directdoc.asp?DDFDocuments/t/G/TBTN24/ARE633.DOCX")</f>
      </c>
      <c r="P1054" s="6">
        <f>HYPERLINK("https://docs.wto.org/imrd/directdoc.asp?DDFDocuments/u/G/TBTN24/ARE633.DOCX", "https://docs.wto.org/imrd/directdoc.asp?DDFDocuments/u/G/TBTN24/ARE633.DOCX")</f>
      </c>
      <c r="Q1054" s="6">
        <f>HYPERLINK("https://docs.wto.org/imrd/directdoc.asp?DDFDocuments/v/G/TBTN24/ARE633.DOCX", "https://docs.wto.org/imrd/directdoc.asp?DDFDocuments/v/G/TBTN24/ARE633.DOCX")</f>
      </c>
    </row>
    <row r="1055">
      <c r="A1055" s="6" t="s">
        <v>400</v>
      </c>
      <c r="B1055" s="7">
        <v>45593</v>
      </c>
      <c r="C1055" s="9">
        <f>HYPERLINK("https://eping.wto.org/en/Search?viewData= G/TBT/N/USA/2088/Add.5"," G/TBT/N/USA/2088/Add.5")</f>
      </c>
      <c r="D1055" s="8" t="s">
        <v>1695</v>
      </c>
      <c r="E1055" s="8" t="s">
        <v>3944</v>
      </c>
      <c r="F1055" s="8" t="s">
        <v>1697</v>
      </c>
      <c r="G1055" s="8" t="s">
        <v>22</v>
      </c>
      <c r="H1055" s="8" t="s">
        <v>1698</v>
      </c>
      <c r="I1055" s="8" t="s">
        <v>405</v>
      </c>
      <c r="J1055" s="8" t="s">
        <v>22</v>
      </c>
      <c r="K1055" s="6"/>
      <c r="L1055" s="7">
        <v>45599</v>
      </c>
      <c r="M1055" s="6" t="s">
        <v>40</v>
      </c>
      <c r="N1055" s="6"/>
      <c r="O1055" s="6">
        <f>HYPERLINK("https://docs.wto.org/imrd/directdoc.asp?DDFDocuments/t/G/TBTN24/USA2088A5.DOCX", "https://docs.wto.org/imrd/directdoc.asp?DDFDocuments/t/G/TBTN24/USA2088A5.DOCX")</f>
      </c>
      <c r="P1055" s="6">
        <f>HYPERLINK("https://docs.wto.org/imrd/directdoc.asp?DDFDocuments/u/G/TBTN24/USA2088A5.DOCX", "https://docs.wto.org/imrd/directdoc.asp?DDFDocuments/u/G/TBTN24/USA2088A5.DOCX")</f>
      </c>
      <c r="Q1055" s="6">
        <f>HYPERLINK("https://docs.wto.org/imrd/directdoc.asp?DDFDocuments/v/G/TBTN24/USA2088A5.DOCX", "https://docs.wto.org/imrd/directdoc.asp?DDFDocuments/v/G/TBTN24/USA2088A5.DOCX")</f>
      </c>
    </row>
    <row r="1056">
      <c r="A1056" s="6" t="s">
        <v>400</v>
      </c>
      <c r="B1056" s="7">
        <v>45593</v>
      </c>
      <c r="C1056" s="9">
        <f>HYPERLINK("https://eping.wto.org/en/Search?viewData= G/TBT/N/USA/2052/Add.2"," G/TBT/N/USA/2052/Add.2")</f>
      </c>
      <c r="D1056" s="8" t="s">
        <v>3945</v>
      </c>
      <c r="E1056" s="8" t="s">
        <v>3946</v>
      </c>
      <c r="F1056" s="8" t="s">
        <v>3947</v>
      </c>
      <c r="G1056" s="8" t="s">
        <v>22</v>
      </c>
      <c r="H1056" s="8" t="s">
        <v>3948</v>
      </c>
      <c r="I1056" s="8" t="s">
        <v>286</v>
      </c>
      <c r="J1056" s="8" t="s">
        <v>22</v>
      </c>
      <c r="K1056" s="6"/>
      <c r="L1056" s="7" t="s">
        <v>22</v>
      </c>
      <c r="M1056" s="6" t="s">
        <v>40</v>
      </c>
      <c r="N1056" s="8" t="s">
        <v>3949</v>
      </c>
      <c r="O1056" s="6">
        <f>HYPERLINK("https://docs.wto.org/imrd/directdoc.asp?DDFDocuments/t/G/TBTN23/USA2052A2.DOCX", "https://docs.wto.org/imrd/directdoc.asp?DDFDocuments/t/G/TBTN23/USA2052A2.DOCX")</f>
      </c>
      <c r="P1056" s="6">
        <f>HYPERLINK("https://docs.wto.org/imrd/directdoc.asp?DDFDocuments/u/G/TBTN23/USA2052A2.DOCX", "https://docs.wto.org/imrd/directdoc.asp?DDFDocuments/u/G/TBTN23/USA2052A2.DOCX")</f>
      </c>
      <c r="Q1056" s="6">
        <f>HYPERLINK("https://docs.wto.org/imrd/directdoc.asp?DDFDocuments/v/G/TBTN23/USA2052A2.DOCX", "https://docs.wto.org/imrd/directdoc.asp?DDFDocuments/v/G/TBTN23/USA2052A2.DOCX")</f>
      </c>
    </row>
    <row r="1057">
      <c r="A1057" s="6" t="s">
        <v>976</v>
      </c>
      <c r="B1057" s="7">
        <v>45593</v>
      </c>
      <c r="C1057" s="9">
        <f>HYPERLINK("https://eping.wto.org/en/Search?viewData= G/TBT/N/ARE/633, G/TBT/N/BHR/718, G/TBT/N/KWT/697, G/TBT/N/OMN/541, G/TBT/N/QAT/692, G/TBT/N/SAU/1362, G/TBT/N/YEM/298"," G/TBT/N/ARE/633, G/TBT/N/BHR/718, G/TBT/N/KWT/697, G/TBT/N/OMN/541, G/TBT/N/QAT/692, G/TBT/N/SAU/1362, G/TBT/N/YEM/298")</f>
      </c>
      <c r="D1057" s="8" t="s">
        <v>3892</v>
      </c>
      <c r="E1057" s="8" t="s">
        <v>3893</v>
      </c>
      <c r="F1057" s="8" t="s">
        <v>3894</v>
      </c>
      <c r="G1057" s="8" t="s">
        <v>22</v>
      </c>
      <c r="H1057" s="8" t="s">
        <v>3895</v>
      </c>
      <c r="I1057" s="8" t="s">
        <v>641</v>
      </c>
      <c r="J1057" s="8" t="s">
        <v>58</v>
      </c>
      <c r="K1057" s="6"/>
      <c r="L1057" s="7">
        <v>45653</v>
      </c>
      <c r="M1057" s="6" t="s">
        <v>32</v>
      </c>
      <c r="N1057" s="8" t="s">
        <v>3896</v>
      </c>
      <c r="O1057" s="6">
        <f>HYPERLINK("https://docs.wto.org/imrd/directdoc.asp?DDFDocuments/t/G/TBTN24/ARE633.DOCX", "https://docs.wto.org/imrd/directdoc.asp?DDFDocuments/t/G/TBTN24/ARE633.DOCX")</f>
      </c>
      <c r="P1057" s="6">
        <f>HYPERLINK("https://docs.wto.org/imrd/directdoc.asp?DDFDocuments/u/G/TBTN24/ARE633.DOCX", "https://docs.wto.org/imrd/directdoc.asp?DDFDocuments/u/G/TBTN24/ARE633.DOCX")</f>
      </c>
      <c r="Q1057" s="6">
        <f>HYPERLINK("https://docs.wto.org/imrd/directdoc.asp?DDFDocuments/v/G/TBTN24/ARE633.DOCX", "https://docs.wto.org/imrd/directdoc.asp?DDFDocuments/v/G/TBTN24/ARE633.DOCX")</f>
      </c>
    </row>
    <row r="1058">
      <c r="A1058" s="6" t="s">
        <v>400</v>
      </c>
      <c r="B1058" s="7">
        <v>45593</v>
      </c>
      <c r="C1058" s="9">
        <f>HYPERLINK("https://eping.wto.org/en/Search?viewData= G/TBT/N/USA/564/Add.11"," G/TBT/N/USA/564/Add.11")</f>
      </c>
      <c r="D1058" s="8" t="s">
        <v>3950</v>
      </c>
      <c r="E1058" s="8" t="s">
        <v>3951</v>
      </c>
      <c r="F1058" s="8" t="s">
        <v>3952</v>
      </c>
      <c r="G1058" s="8" t="s">
        <v>22</v>
      </c>
      <c r="H1058" s="8" t="s">
        <v>3953</v>
      </c>
      <c r="I1058" s="8" t="s">
        <v>1819</v>
      </c>
      <c r="J1058" s="8" t="s">
        <v>22</v>
      </c>
      <c r="K1058" s="6"/>
      <c r="L1058" s="7">
        <v>45604</v>
      </c>
      <c r="M1058" s="6" t="s">
        <v>40</v>
      </c>
      <c r="N1058" s="8" t="s">
        <v>3954</v>
      </c>
      <c r="O1058" s="6">
        <f>HYPERLINK("https://docs.wto.org/imrd/directdoc.asp?DDFDocuments/t/G/TBTN10/USA564A11.DOCX", "https://docs.wto.org/imrd/directdoc.asp?DDFDocuments/t/G/TBTN10/USA564A11.DOCX")</f>
      </c>
      <c r="P1058" s="6">
        <f>HYPERLINK("https://docs.wto.org/imrd/directdoc.asp?DDFDocuments/u/G/TBTN10/USA564A11.DOCX", "https://docs.wto.org/imrd/directdoc.asp?DDFDocuments/u/G/TBTN10/USA564A11.DOCX")</f>
      </c>
      <c r="Q1058" s="6">
        <f>HYPERLINK("https://docs.wto.org/imrd/directdoc.asp?DDFDocuments/v/G/TBTN10/USA564A11.DOCX", "https://docs.wto.org/imrd/directdoc.asp?DDFDocuments/v/G/TBTN10/USA564A11.DOCX")</f>
      </c>
    </row>
    <row r="1059">
      <c r="A1059" s="6" t="s">
        <v>170</v>
      </c>
      <c r="B1059" s="7">
        <v>45593</v>
      </c>
      <c r="C1059" s="9">
        <f>HYPERLINK("https://eping.wto.org/en/Search?viewData= G/TBT/N/ARE/632, G/TBT/N/BHR/717, G/TBT/N/KWT/696, G/TBT/N/OMN/540, G/TBT/N/QAT/691, G/TBT/N/SAU/1361, G/TBT/N/YEM/297"," G/TBT/N/ARE/632, G/TBT/N/BHR/717, G/TBT/N/KWT/696, G/TBT/N/OMN/540, G/TBT/N/QAT/691, G/TBT/N/SAU/1361, G/TBT/N/YEM/297")</f>
      </c>
      <c r="D1059" s="8" t="s">
        <v>3883</v>
      </c>
      <c r="E1059" s="8" t="s">
        <v>3884</v>
      </c>
      <c r="F1059" s="8" t="s">
        <v>3885</v>
      </c>
      <c r="G1059" s="8" t="s">
        <v>22</v>
      </c>
      <c r="H1059" s="8" t="s">
        <v>2534</v>
      </c>
      <c r="I1059" s="8" t="s">
        <v>641</v>
      </c>
      <c r="J1059" s="8" t="s">
        <v>58</v>
      </c>
      <c r="K1059" s="6"/>
      <c r="L1059" s="7">
        <v>45653</v>
      </c>
      <c r="M1059" s="6" t="s">
        <v>32</v>
      </c>
      <c r="N1059" s="8" t="s">
        <v>3886</v>
      </c>
      <c r="O1059" s="6">
        <f>HYPERLINK("https://docs.wto.org/imrd/directdoc.asp?DDFDocuments/t/G/TBTN24/ARE632.DOCX", "https://docs.wto.org/imrd/directdoc.asp?DDFDocuments/t/G/TBTN24/ARE632.DOCX")</f>
      </c>
      <c r="P1059" s="6">
        <f>HYPERLINK("https://docs.wto.org/imrd/directdoc.asp?DDFDocuments/u/G/TBTN24/ARE632.DOCX", "https://docs.wto.org/imrd/directdoc.asp?DDFDocuments/u/G/TBTN24/ARE632.DOCX")</f>
      </c>
      <c r="Q1059" s="6">
        <f>HYPERLINK("https://docs.wto.org/imrd/directdoc.asp?DDFDocuments/v/G/TBTN24/ARE632.DOCX", "https://docs.wto.org/imrd/directdoc.asp?DDFDocuments/v/G/TBTN24/ARE632.DOCX")</f>
      </c>
    </row>
    <row r="1060">
      <c r="A1060" s="6" t="s">
        <v>226</v>
      </c>
      <c r="B1060" s="7">
        <v>45590</v>
      </c>
      <c r="C1060" s="9">
        <f>HYPERLINK("https://eping.wto.org/en/Search?viewData= G/SPS/N/ARE/284"," G/SPS/N/ARE/284")</f>
      </c>
      <c r="D1060" s="8" t="s">
        <v>3955</v>
      </c>
      <c r="E1060" s="8" t="s">
        <v>3956</v>
      </c>
      <c r="F1060" s="8" t="s">
        <v>3957</v>
      </c>
      <c r="G1060" s="8" t="s">
        <v>22</v>
      </c>
      <c r="H1060" s="8" t="s">
        <v>22</v>
      </c>
      <c r="I1060" s="8" t="s">
        <v>1371</v>
      </c>
      <c r="J1060" s="8" t="s">
        <v>1350</v>
      </c>
      <c r="K1060" s="6" t="s">
        <v>22</v>
      </c>
      <c r="L1060" s="7">
        <v>45650</v>
      </c>
      <c r="M1060" s="6" t="s">
        <v>32</v>
      </c>
      <c r="N1060" s="8" t="s">
        <v>3958</v>
      </c>
      <c r="O1060" s="6">
        <f>HYPERLINK("https://docs.wto.org/imrd/directdoc.asp?DDFDocuments/t/G/SPS/NARE284.DOCX", "https://docs.wto.org/imrd/directdoc.asp?DDFDocuments/t/G/SPS/NARE284.DOCX")</f>
      </c>
      <c r="P1060" s="6">
        <f>HYPERLINK("https://docs.wto.org/imrd/directdoc.asp?DDFDocuments/u/G/SPS/NARE284.DOCX", "https://docs.wto.org/imrd/directdoc.asp?DDFDocuments/u/G/SPS/NARE284.DOCX")</f>
      </c>
      <c r="Q1060" s="6">
        <f>HYPERLINK("https://docs.wto.org/imrd/directdoc.asp?DDFDocuments/v/G/SPS/NARE284.DOCX", "https://docs.wto.org/imrd/directdoc.asp?DDFDocuments/v/G/SPS/NARE284.DOCX")</f>
      </c>
    </row>
    <row r="1061">
      <c r="A1061" s="6" t="s">
        <v>360</v>
      </c>
      <c r="B1061" s="7">
        <v>45590</v>
      </c>
      <c r="C1061" s="9">
        <f>HYPERLINK("https://eping.wto.org/en/Search?viewData= G/TBT/N/CHL/660/Add.2"," G/TBT/N/CHL/660/Add.2")</f>
      </c>
      <c r="D1061" s="8" t="s">
        <v>3959</v>
      </c>
      <c r="E1061" s="8" t="s">
        <v>3960</v>
      </c>
      <c r="F1061" s="8" t="s">
        <v>3961</v>
      </c>
      <c r="G1061" s="8" t="s">
        <v>22</v>
      </c>
      <c r="H1061" s="8" t="s">
        <v>3962</v>
      </c>
      <c r="I1061" s="8" t="s">
        <v>203</v>
      </c>
      <c r="J1061" s="8" t="s">
        <v>22</v>
      </c>
      <c r="K1061" s="6"/>
      <c r="L1061" s="7" t="s">
        <v>22</v>
      </c>
      <c r="M1061" s="6" t="s">
        <v>40</v>
      </c>
      <c r="N1061" s="8" t="s">
        <v>3963</v>
      </c>
      <c r="O1061" s="6">
        <f>HYPERLINK("https://docs.wto.org/imrd/directdoc.asp?DDFDocuments/t/G/TBTN23/CHL660A2.DOCX", "https://docs.wto.org/imrd/directdoc.asp?DDFDocuments/t/G/TBTN23/CHL660A2.DOCX")</f>
      </c>
      <c r="P1061" s="6">
        <f>HYPERLINK("https://docs.wto.org/imrd/directdoc.asp?DDFDocuments/u/G/TBTN23/CHL660A2.DOCX", "https://docs.wto.org/imrd/directdoc.asp?DDFDocuments/u/G/TBTN23/CHL660A2.DOCX")</f>
      </c>
      <c r="Q1061" s="6">
        <f>HYPERLINK("https://docs.wto.org/imrd/directdoc.asp?DDFDocuments/v/G/TBTN23/CHL660A2.DOCX", "https://docs.wto.org/imrd/directdoc.asp?DDFDocuments/v/G/TBTN23/CHL660A2.DOCX")</f>
      </c>
    </row>
    <row r="1062">
      <c r="A1062" s="6" t="s">
        <v>360</v>
      </c>
      <c r="B1062" s="7">
        <v>45590</v>
      </c>
      <c r="C1062" s="9">
        <f>HYPERLINK("https://eping.wto.org/en/Search?viewData= G/SPS/N/CHL/804"," G/SPS/N/CHL/804")</f>
      </c>
      <c r="D1062" s="8" t="s">
        <v>3964</v>
      </c>
      <c r="E1062" s="8" t="s">
        <v>3965</v>
      </c>
      <c r="F1062" s="8" t="s">
        <v>3966</v>
      </c>
      <c r="G1062" s="8" t="s">
        <v>2846</v>
      </c>
      <c r="H1062" s="8" t="s">
        <v>22</v>
      </c>
      <c r="I1062" s="8" t="s">
        <v>128</v>
      </c>
      <c r="J1062" s="8" t="s">
        <v>1262</v>
      </c>
      <c r="K1062" s="6" t="s">
        <v>400</v>
      </c>
      <c r="L1062" s="7" t="s">
        <v>22</v>
      </c>
      <c r="M1062" s="6" t="s">
        <v>32</v>
      </c>
      <c r="N1062" s="8" t="s">
        <v>3967</v>
      </c>
      <c r="O1062" s="6">
        <f>HYPERLINK("https://docs.wto.org/imrd/directdoc.asp?DDFDocuments/t/G/SPS/NCHL804.DOCX", "https://docs.wto.org/imrd/directdoc.asp?DDFDocuments/t/G/SPS/NCHL804.DOCX")</f>
      </c>
      <c r="P1062" s="6">
        <f>HYPERLINK("https://docs.wto.org/imrd/directdoc.asp?DDFDocuments/u/G/SPS/NCHL804.DOCX", "https://docs.wto.org/imrd/directdoc.asp?DDFDocuments/u/G/SPS/NCHL804.DOCX")</f>
      </c>
      <c r="Q1062" s="6">
        <f>HYPERLINK("https://docs.wto.org/imrd/directdoc.asp?DDFDocuments/v/G/SPS/NCHL804.DOCX", "https://docs.wto.org/imrd/directdoc.asp?DDFDocuments/v/G/SPS/NCHL804.DOCX")</f>
      </c>
    </row>
    <row r="1063">
      <c r="A1063" s="6" t="s">
        <v>132</v>
      </c>
      <c r="B1063" s="7">
        <v>45590</v>
      </c>
      <c r="C1063" s="9">
        <f>HYPERLINK("https://eping.wto.org/en/Search?viewData= G/TBT/N/CAN/733"," G/TBT/N/CAN/733")</f>
      </c>
      <c r="D1063" s="8" t="s">
        <v>3968</v>
      </c>
      <c r="E1063" s="8" t="s">
        <v>3969</v>
      </c>
      <c r="F1063" s="8" t="s">
        <v>3970</v>
      </c>
      <c r="G1063" s="8" t="s">
        <v>3971</v>
      </c>
      <c r="H1063" s="8" t="s">
        <v>115</v>
      </c>
      <c r="I1063" s="8" t="s">
        <v>138</v>
      </c>
      <c r="J1063" s="8" t="s">
        <v>58</v>
      </c>
      <c r="K1063" s="6"/>
      <c r="L1063" s="7">
        <v>45649</v>
      </c>
      <c r="M1063" s="6" t="s">
        <v>32</v>
      </c>
      <c r="N1063" s="6"/>
      <c r="O1063" s="6">
        <f>HYPERLINK("https://docs.wto.org/imrd/directdoc.asp?DDFDocuments/t/G/TBTN24/CAN733.DOCX", "https://docs.wto.org/imrd/directdoc.asp?DDFDocuments/t/G/TBTN24/CAN733.DOCX")</f>
      </c>
      <c r="P1063" s="6">
        <f>HYPERLINK("https://docs.wto.org/imrd/directdoc.asp?DDFDocuments/u/G/TBTN24/CAN733.DOCX", "https://docs.wto.org/imrd/directdoc.asp?DDFDocuments/u/G/TBTN24/CAN733.DOCX")</f>
      </c>
      <c r="Q1063" s="6">
        <f>HYPERLINK("https://docs.wto.org/imrd/directdoc.asp?DDFDocuments/v/G/TBTN24/CAN733.DOCX", "https://docs.wto.org/imrd/directdoc.asp?DDFDocuments/v/G/TBTN24/CAN733.DOCX")</f>
      </c>
    </row>
    <row r="1064">
      <c r="A1064" s="6" t="s">
        <v>418</v>
      </c>
      <c r="B1064" s="7">
        <v>45590</v>
      </c>
      <c r="C1064" s="9">
        <f>HYPERLINK("https://eping.wto.org/en/Search?viewData= G/TBT/N/EU/1091"," G/TBT/N/EU/1091")</f>
      </c>
      <c r="D1064" s="8" t="s">
        <v>3972</v>
      </c>
      <c r="E1064" s="8" t="s">
        <v>3973</v>
      </c>
      <c r="F1064" s="8" t="s">
        <v>1724</v>
      </c>
      <c r="G1064" s="8" t="s">
        <v>22</v>
      </c>
      <c r="H1064" s="8" t="s">
        <v>1725</v>
      </c>
      <c r="I1064" s="8" t="s">
        <v>2409</v>
      </c>
      <c r="J1064" s="8" t="s">
        <v>139</v>
      </c>
      <c r="K1064" s="6"/>
      <c r="L1064" s="7">
        <v>45650</v>
      </c>
      <c r="M1064" s="6" t="s">
        <v>32</v>
      </c>
      <c r="N1064" s="8" t="s">
        <v>3974</v>
      </c>
      <c r="O1064" s="6">
        <f>HYPERLINK("https://docs.wto.org/imrd/directdoc.asp?DDFDocuments/t/G/TBTN24/EU1091.DOCX", "https://docs.wto.org/imrd/directdoc.asp?DDFDocuments/t/G/TBTN24/EU1091.DOCX")</f>
      </c>
      <c r="P1064" s="6">
        <f>HYPERLINK("https://docs.wto.org/imrd/directdoc.asp?DDFDocuments/u/G/TBTN24/EU1091.DOCX", "https://docs.wto.org/imrd/directdoc.asp?DDFDocuments/u/G/TBTN24/EU1091.DOCX")</f>
      </c>
      <c r="Q1064" s="6">
        <f>HYPERLINK("https://docs.wto.org/imrd/directdoc.asp?DDFDocuments/v/G/TBTN24/EU1091.DOCX", "https://docs.wto.org/imrd/directdoc.asp?DDFDocuments/v/G/TBTN24/EU1091.DOCX")</f>
      </c>
    </row>
    <row r="1065">
      <c r="A1065" s="6" t="s">
        <v>496</v>
      </c>
      <c r="B1065" s="7">
        <v>45590</v>
      </c>
      <c r="C1065" s="9">
        <f>HYPERLINK("https://eping.wto.org/en/Search?viewData= G/SPS/N/GBR/72"," G/SPS/N/GBR/72")</f>
      </c>
      <c r="D1065" s="8" t="s">
        <v>3975</v>
      </c>
      <c r="E1065" s="8" t="s">
        <v>3976</v>
      </c>
      <c r="F1065" s="8" t="s">
        <v>3977</v>
      </c>
      <c r="G1065" s="8" t="s">
        <v>3978</v>
      </c>
      <c r="H1065" s="8" t="s">
        <v>22</v>
      </c>
      <c r="I1065" s="8" t="s">
        <v>120</v>
      </c>
      <c r="J1065" s="8" t="s">
        <v>121</v>
      </c>
      <c r="K1065" s="6" t="s">
        <v>22</v>
      </c>
      <c r="L1065" s="7" t="s">
        <v>22</v>
      </c>
      <c r="M1065" s="6" t="s">
        <v>32</v>
      </c>
      <c r="N1065" s="8" t="s">
        <v>3979</v>
      </c>
      <c r="O1065" s="6">
        <f>HYPERLINK("https://docs.wto.org/imrd/directdoc.asp?DDFDocuments/t/G/SPS/NGBR72.DOCX", "https://docs.wto.org/imrd/directdoc.asp?DDFDocuments/t/G/SPS/NGBR72.DOCX")</f>
      </c>
      <c r="P1065" s="6">
        <f>HYPERLINK("https://docs.wto.org/imrd/directdoc.asp?DDFDocuments/u/G/SPS/NGBR72.DOCX", "https://docs.wto.org/imrd/directdoc.asp?DDFDocuments/u/G/SPS/NGBR72.DOCX")</f>
      </c>
      <c r="Q1065" s="6">
        <f>HYPERLINK("https://docs.wto.org/imrd/directdoc.asp?DDFDocuments/v/G/SPS/NGBR72.DOCX", "https://docs.wto.org/imrd/directdoc.asp?DDFDocuments/v/G/SPS/NGBR72.DOCX")</f>
      </c>
    </row>
    <row r="1066">
      <c r="A1066" s="6" t="s">
        <v>360</v>
      </c>
      <c r="B1066" s="7">
        <v>45590</v>
      </c>
      <c r="C1066" s="9">
        <f>HYPERLINK("https://eping.wto.org/en/Search?viewData= G/TBT/N/CHL/647/Add.1"," G/TBT/N/CHL/647/Add.1")</f>
      </c>
      <c r="D1066" s="8" t="s">
        <v>3980</v>
      </c>
      <c r="E1066" s="8" t="s">
        <v>787</v>
      </c>
      <c r="F1066" s="8" t="s">
        <v>3981</v>
      </c>
      <c r="G1066" s="8" t="s">
        <v>22</v>
      </c>
      <c r="H1066" s="8" t="s">
        <v>3982</v>
      </c>
      <c r="I1066" s="8" t="s">
        <v>760</v>
      </c>
      <c r="J1066" s="8" t="s">
        <v>266</v>
      </c>
      <c r="K1066" s="6"/>
      <c r="L1066" s="7" t="s">
        <v>22</v>
      </c>
      <c r="M1066" s="6" t="s">
        <v>40</v>
      </c>
      <c r="N1066" s="8" t="s">
        <v>3983</v>
      </c>
      <c r="O1066" s="6">
        <f>HYPERLINK("https://docs.wto.org/imrd/directdoc.asp?DDFDocuments/t/G/TBTN23/CHL647A1.DOCX", "https://docs.wto.org/imrd/directdoc.asp?DDFDocuments/t/G/TBTN23/CHL647A1.DOCX")</f>
      </c>
      <c r="P1066" s="6">
        <f>HYPERLINK("https://docs.wto.org/imrd/directdoc.asp?DDFDocuments/u/G/TBTN23/CHL647A1.DOCX", "https://docs.wto.org/imrd/directdoc.asp?DDFDocuments/u/G/TBTN23/CHL647A1.DOCX")</f>
      </c>
      <c r="Q1066" s="6">
        <f>HYPERLINK("https://docs.wto.org/imrd/directdoc.asp?DDFDocuments/v/G/TBTN23/CHL647A1.DOCX", "https://docs.wto.org/imrd/directdoc.asp?DDFDocuments/v/G/TBTN23/CHL647A1.DOCX")</f>
      </c>
    </row>
    <row r="1067">
      <c r="A1067" s="6" t="s">
        <v>3984</v>
      </c>
      <c r="B1067" s="7">
        <v>45590</v>
      </c>
      <c r="C1067" s="9">
        <f>HYPERLINK("https://eping.wto.org/en/Search?viewData= G/SPS/N/ALB/212"," G/SPS/N/ALB/212")</f>
      </c>
      <c r="D1067" s="8" t="s">
        <v>3985</v>
      </c>
      <c r="E1067" s="8" t="s">
        <v>3986</v>
      </c>
      <c r="F1067" s="8" t="s">
        <v>3987</v>
      </c>
      <c r="G1067" s="8" t="s">
        <v>3988</v>
      </c>
      <c r="H1067" s="8" t="s">
        <v>22</v>
      </c>
      <c r="I1067" s="8" t="s">
        <v>1371</v>
      </c>
      <c r="J1067" s="8" t="s">
        <v>1350</v>
      </c>
      <c r="K1067" s="6" t="s">
        <v>22</v>
      </c>
      <c r="L1067" s="7">
        <v>45650</v>
      </c>
      <c r="M1067" s="6" t="s">
        <v>32</v>
      </c>
      <c r="N1067" s="8" t="s">
        <v>3989</v>
      </c>
      <c r="O1067" s="6">
        <f>HYPERLINK("https://docs.wto.org/imrd/directdoc.asp?DDFDocuments/t/G/SPS/NALB212.DOCX", "https://docs.wto.org/imrd/directdoc.asp?DDFDocuments/t/G/SPS/NALB212.DOCX")</f>
      </c>
      <c r="P1067" s="6">
        <f>HYPERLINK("https://docs.wto.org/imrd/directdoc.asp?DDFDocuments/u/G/SPS/NALB212.DOCX", "https://docs.wto.org/imrd/directdoc.asp?DDFDocuments/u/G/SPS/NALB212.DOCX")</f>
      </c>
      <c r="Q1067" s="6">
        <f>HYPERLINK("https://docs.wto.org/imrd/directdoc.asp?DDFDocuments/v/G/SPS/NALB212.DOCX", "https://docs.wto.org/imrd/directdoc.asp?DDFDocuments/v/G/SPS/NALB212.DOCX")</f>
      </c>
    </row>
    <row r="1068">
      <c r="A1068" s="6" t="s">
        <v>3168</v>
      </c>
      <c r="B1068" s="7">
        <v>45590</v>
      </c>
      <c r="C1068" s="9">
        <f>HYPERLINK("https://eping.wto.org/en/Search?viewData= G/TBT/N/HND/103/Corr.1"," G/TBT/N/HND/103/Corr.1")</f>
      </c>
      <c r="D1068" s="8" t="s">
        <v>3990</v>
      </c>
      <c r="E1068" s="8" t="s">
        <v>3990</v>
      </c>
      <c r="F1068" s="8" t="s">
        <v>3991</v>
      </c>
      <c r="G1068" s="8" t="s">
        <v>22</v>
      </c>
      <c r="H1068" s="8" t="s">
        <v>3992</v>
      </c>
      <c r="I1068" s="8" t="s">
        <v>380</v>
      </c>
      <c r="J1068" s="8" t="s">
        <v>22</v>
      </c>
      <c r="K1068" s="6"/>
      <c r="L1068" s="7" t="s">
        <v>22</v>
      </c>
      <c r="M1068" s="6" t="s">
        <v>248</v>
      </c>
      <c r="N1068" s="6"/>
      <c r="O1068" s="6">
        <f>HYPERLINK("https://docs.wto.org/imrd/directdoc.asp?DDFDocuments/t/G/TBTN24/HND103C1.DOCX", "https://docs.wto.org/imrd/directdoc.asp?DDFDocuments/t/G/TBTN24/HND103C1.DOCX")</f>
      </c>
      <c r="P1068" s="6"/>
      <c r="Q1068" s="6">
        <f>HYPERLINK("https://docs.wto.org/imrd/directdoc.asp?DDFDocuments/v/G/TBTN24/HND103C1.DOCX", "https://docs.wto.org/imrd/directdoc.asp?DDFDocuments/v/G/TBTN24/HND103C1.DOCX")</f>
      </c>
    </row>
    <row r="1069">
      <c r="A1069" s="6" t="s">
        <v>3168</v>
      </c>
      <c r="B1069" s="7">
        <v>45590</v>
      </c>
      <c r="C1069" s="9">
        <f>HYPERLINK("https://eping.wto.org/en/Search?viewData= G/TBT/N/HND/104/Corr.1"," G/TBT/N/HND/104/Corr.1")</f>
      </c>
      <c r="D1069" s="8" t="s">
        <v>3993</v>
      </c>
      <c r="E1069" s="8" t="s">
        <v>3993</v>
      </c>
      <c r="F1069" s="8" t="s">
        <v>3991</v>
      </c>
      <c r="G1069" s="8" t="s">
        <v>22</v>
      </c>
      <c r="H1069" s="8" t="s">
        <v>3994</v>
      </c>
      <c r="I1069" s="8" t="s">
        <v>380</v>
      </c>
      <c r="J1069" s="8" t="s">
        <v>22</v>
      </c>
      <c r="K1069" s="6"/>
      <c r="L1069" s="7" t="s">
        <v>22</v>
      </c>
      <c r="M1069" s="6" t="s">
        <v>248</v>
      </c>
      <c r="N1069" s="6"/>
      <c r="O1069" s="6">
        <f>HYPERLINK("https://docs.wto.org/imrd/directdoc.asp?DDFDocuments/t/G/TBTN24/HND104C1.DOCX", "https://docs.wto.org/imrd/directdoc.asp?DDFDocuments/t/G/TBTN24/HND104C1.DOCX")</f>
      </c>
      <c r="P1069" s="6"/>
      <c r="Q1069" s="6">
        <f>HYPERLINK("https://docs.wto.org/imrd/directdoc.asp?DDFDocuments/v/G/TBTN24/HND104C1.DOCX", "https://docs.wto.org/imrd/directdoc.asp?DDFDocuments/v/G/TBTN24/HND104C1.DOCX")</f>
      </c>
    </row>
    <row r="1070">
      <c r="A1070" s="6" t="s">
        <v>847</v>
      </c>
      <c r="B1070" s="7">
        <v>45590</v>
      </c>
      <c r="C1070" s="9">
        <f>HYPERLINK("https://eping.wto.org/en/Search?viewData= G/TBT/N/UKR/312"," G/TBT/N/UKR/312")</f>
      </c>
      <c r="D1070" s="8" t="s">
        <v>3995</v>
      </c>
      <c r="E1070" s="8" t="s">
        <v>3996</v>
      </c>
      <c r="F1070" s="8" t="s">
        <v>3997</v>
      </c>
      <c r="G1070" s="8" t="s">
        <v>3998</v>
      </c>
      <c r="H1070" s="8" t="s">
        <v>2256</v>
      </c>
      <c r="I1070" s="8" t="s">
        <v>286</v>
      </c>
      <c r="J1070" s="8" t="s">
        <v>22</v>
      </c>
      <c r="K1070" s="6"/>
      <c r="L1070" s="7">
        <v>45650</v>
      </c>
      <c r="M1070" s="6" t="s">
        <v>32</v>
      </c>
      <c r="N1070" s="8" t="s">
        <v>3999</v>
      </c>
      <c r="O1070" s="6">
        <f>HYPERLINK("https://docs.wto.org/imrd/directdoc.asp?DDFDocuments/t/G/TBTN24/UKR312.DOCX", "https://docs.wto.org/imrd/directdoc.asp?DDFDocuments/t/G/TBTN24/UKR312.DOCX")</f>
      </c>
      <c r="P1070" s="6">
        <f>HYPERLINK("https://docs.wto.org/imrd/directdoc.asp?DDFDocuments/u/G/TBTN24/UKR312.DOCX", "https://docs.wto.org/imrd/directdoc.asp?DDFDocuments/u/G/TBTN24/UKR312.DOCX")</f>
      </c>
      <c r="Q1070" s="6">
        <f>HYPERLINK("https://docs.wto.org/imrd/directdoc.asp?DDFDocuments/v/G/TBTN24/UKR312.DOCX", "https://docs.wto.org/imrd/directdoc.asp?DDFDocuments/v/G/TBTN24/UKR312.DOCX")</f>
      </c>
    </row>
    <row r="1071">
      <c r="A1071" s="6" t="s">
        <v>583</v>
      </c>
      <c r="B1071" s="7">
        <v>45590</v>
      </c>
      <c r="C1071" s="9">
        <f>HYPERLINK("https://eping.wto.org/en/Search?viewData= G/SPS/N/EGY/156"," G/SPS/N/EGY/156")</f>
      </c>
      <c r="D1071" s="8" t="s">
        <v>584</v>
      </c>
      <c r="E1071" s="8" t="s">
        <v>4000</v>
      </c>
      <c r="F1071" s="8" t="s">
        <v>586</v>
      </c>
      <c r="G1071" s="8" t="s">
        <v>1191</v>
      </c>
      <c r="H1071" s="8" t="s">
        <v>1192</v>
      </c>
      <c r="I1071" s="8" t="s">
        <v>120</v>
      </c>
      <c r="J1071" s="8" t="s">
        <v>255</v>
      </c>
      <c r="K1071" s="6" t="s">
        <v>22</v>
      </c>
      <c r="L1071" s="7">
        <v>45650</v>
      </c>
      <c r="M1071" s="6" t="s">
        <v>32</v>
      </c>
      <c r="N1071" s="6"/>
      <c r="O1071" s="6">
        <f>HYPERLINK("https://docs.wto.org/imrd/directdoc.asp?DDFDocuments/t/G/SPS/NEGY156.DOCX", "https://docs.wto.org/imrd/directdoc.asp?DDFDocuments/t/G/SPS/NEGY156.DOCX")</f>
      </c>
      <c r="P1071" s="6">
        <f>HYPERLINK("https://docs.wto.org/imrd/directdoc.asp?DDFDocuments/u/G/SPS/NEGY156.DOCX", "https://docs.wto.org/imrd/directdoc.asp?DDFDocuments/u/G/SPS/NEGY156.DOCX")</f>
      </c>
      <c r="Q1071" s="6">
        <f>HYPERLINK("https://docs.wto.org/imrd/directdoc.asp?DDFDocuments/v/G/SPS/NEGY156.DOCX", "https://docs.wto.org/imrd/directdoc.asp?DDFDocuments/v/G/SPS/NEGY156.DOCX")</f>
      </c>
    </row>
    <row r="1072">
      <c r="A1072" s="6" t="s">
        <v>360</v>
      </c>
      <c r="B1072" s="7">
        <v>45590</v>
      </c>
      <c r="C1072" s="9">
        <f>HYPERLINK("https://eping.wto.org/en/Search?viewData= G/TBT/N/CHL/657/Add.1"," G/TBT/N/CHL/657/Add.1")</f>
      </c>
      <c r="D1072" s="8" t="s">
        <v>4001</v>
      </c>
      <c r="E1072" s="8" t="s">
        <v>4002</v>
      </c>
      <c r="F1072" s="8" t="s">
        <v>4003</v>
      </c>
      <c r="G1072" s="8" t="s">
        <v>22</v>
      </c>
      <c r="H1072" s="8" t="s">
        <v>358</v>
      </c>
      <c r="I1072" s="8" t="s">
        <v>701</v>
      </c>
      <c r="J1072" s="8" t="s">
        <v>81</v>
      </c>
      <c r="K1072" s="6"/>
      <c r="L1072" s="7" t="s">
        <v>22</v>
      </c>
      <c r="M1072" s="6" t="s">
        <v>40</v>
      </c>
      <c r="N1072" s="8" t="s">
        <v>4004</v>
      </c>
      <c r="O1072" s="6">
        <f>HYPERLINK("https://docs.wto.org/imrd/directdoc.asp?DDFDocuments/t/G/TBTN23/CHL657A1.DOCX", "https://docs.wto.org/imrd/directdoc.asp?DDFDocuments/t/G/TBTN23/CHL657A1.DOCX")</f>
      </c>
      <c r="P1072" s="6">
        <f>HYPERLINK("https://docs.wto.org/imrd/directdoc.asp?DDFDocuments/u/G/TBTN23/CHL657A1.DOCX", "https://docs.wto.org/imrd/directdoc.asp?DDFDocuments/u/G/TBTN23/CHL657A1.DOCX")</f>
      </c>
      <c r="Q1072" s="6">
        <f>HYPERLINK("https://docs.wto.org/imrd/directdoc.asp?DDFDocuments/v/G/TBTN23/CHL657A1.DOCX", "https://docs.wto.org/imrd/directdoc.asp?DDFDocuments/v/G/TBTN23/CHL657A1.DOCX")</f>
      </c>
    </row>
    <row r="1073">
      <c r="A1073" s="6" t="s">
        <v>360</v>
      </c>
      <c r="B1073" s="7">
        <v>45590</v>
      </c>
      <c r="C1073" s="9">
        <f>HYPERLINK("https://eping.wto.org/en/Search?viewData= G/SPS/N/CHL/776/Rev.1/Add.1"," G/SPS/N/CHL/776/Rev.1/Add.1")</f>
      </c>
      <c r="D1073" s="8" t="s">
        <v>4005</v>
      </c>
      <c r="E1073" s="8" t="s">
        <v>4005</v>
      </c>
      <c r="F1073" s="8" t="s">
        <v>4006</v>
      </c>
      <c r="G1073" s="8" t="s">
        <v>4007</v>
      </c>
      <c r="H1073" s="8" t="s">
        <v>22</v>
      </c>
      <c r="I1073" s="8" t="s">
        <v>348</v>
      </c>
      <c r="J1073" s="8" t="s">
        <v>4008</v>
      </c>
      <c r="K1073" s="6"/>
      <c r="L1073" s="7" t="s">
        <v>22</v>
      </c>
      <c r="M1073" s="6" t="s">
        <v>40</v>
      </c>
      <c r="N1073" s="8" t="s">
        <v>4009</v>
      </c>
      <c r="O1073" s="6">
        <f>HYPERLINK("https://docs.wto.org/imrd/directdoc.asp?DDFDocuments/t/G/SPS/NCHL776R1A1.DOCX", "https://docs.wto.org/imrd/directdoc.asp?DDFDocuments/t/G/SPS/NCHL776R1A1.DOCX")</f>
      </c>
      <c r="P1073" s="6">
        <f>HYPERLINK("https://docs.wto.org/imrd/directdoc.asp?DDFDocuments/u/G/SPS/NCHL776R1A1.DOCX", "https://docs.wto.org/imrd/directdoc.asp?DDFDocuments/u/G/SPS/NCHL776R1A1.DOCX")</f>
      </c>
      <c r="Q1073" s="6">
        <f>HYPERLINK("https://docs.wto.org/imrd/directdoc.asp?DDFDocuments/v/G/SPS/NCHL776R1A1.DOCX", "https://docs.wto.org/imrd/directdoc.asp?DDFDocuments/v/G/SPS/NCHL776R1A1.DOCX")</f>
      </c>
    </row>
    <row r="1074">
      <c r="A1074" s="6" t="s">
        <v>360</v>
      </c>
      <c r="B1074" s="7">
        <v>45590</v>
      </c>
      <c r="C1074" s="9">
        <f>HYPERLINK("https://eping.wto.org/en/Search?viewData= G/SPS/N/CHL/805"," G/SPS/N/CHL/805")</f>
      </c>
      <c r="D1074" s="8" t="s">
        <v>4010</v>
      </c>
      <c r="E1074" s="8" t="s">
        <v>4011</v>
      </c>
      <c r="F1074" s="8" t="s">
        <v>4012</v>
      </c>
      <c r="G1074" s="8" t="s">
        <v>2821</v>
      </c>
      <c r="H1074" s="8" t="s">
        <v>22</v>
      </c>
      <c r="I1074" s="8" t="s">
        <v>128</v>
      </c>
      <c r="J1074" s="8" t="s">
        <v>129</v>
      </c>
      <c r="K1074" s="6" t="s">
        <v>400</v>
      </c>
      <c r="L1074" s="7" t="s">
        <v>22</v>
      </c>
      <c r="M1074" s="6" t="s">
        <v>32</v>
      </c>
      <c r="N1074" s="8" t="s">
        <v>4013</v>
      </c>
      <c r="O1074" s="6">
        <f>HYPERLINK("https://docs.wto.org/imrd/directdoc.asp?DDFDocuments/t/G/SPS/NCHL805.DOCX", "https://docs.wto.org/imrd/directdoc.asp?DDFDocuments/t/G/SPS/NCHL805.DOCX")</f>
      </c>
      <c r="P1074" s="6">
        <f>HYPERLINK("https://docs.wto.org/imrd/directdoc.asp?DDFDocuments/u/G/SPS/NCHL805.DOCX", "https://docs.wto.org/imrd/directdoc.asp?DDFDocuments/u/G/SPS/NCHL805.DOCX")</f>
      </c>
      <c r="Q1074" s="6">
        <f>HYPERLINK("https://docs.wto.org/imrd/directdoc.asp?DDFDocuments/v/G/SPS/NCHL805.DOCX", "https://docs.wto.org/imrd/directdoc.asp?DDFDocuments/v/G/SPS/NCHL805.DOCX")</f>
      </c>
    </row>
    <row r="1075">
      <c r="A1075" s="6" t="s">
        <v>583</v>
      </c>
      <c r="B1075" s="7">
        <v>45589</v>
      </c>
      <c r="C1075" s="9">
        <f>HYPERLINK("https://eping.wto.org/en/Search?viewData= G/SPS/N/EGY/153"," G/SPS/N/EGY/153")</f>
      </c>
      <c r="D1075" s="8" t="s">
        <v>584</v>
      </c>
      <c r="E1075" s="8" t="s">
        <v>4014</v>
      </c>
      <c r="F1075" s="8" t="s">
        <v>4015</v>
      </c>
      <c r="G1075" s="8" t="s">
        <v>22</v>
      </c>
      <c r="H1075" s="8" t="s">
        <v>866</v>
      </c>
      <c r="I1075" s="8" t="s">
        <v>120</v>
      </c>
      <c r="J1075" s="8" t="s">
        <v>255</v>
      </c>
      <c r="K1075" s="6" t="s">
        <v>22</v>
      </c>
      <c r="L1075" s="7">
        <v>45649</v>
      </c>
      <c r="M1075" s="6" t="s">
        <v>32</v>
      </c>
      <c r="N1075" s="6"/>
      <c r="O1075" s="6">
        <f>HYPERLINK("https://docs.wto.org/imrd/directdoc.asp?DDFDocuments/t/G/SPS/NEGY153.DOCX", "https://docs.wto.org/imrd/directdoc.asp?DDFDocuments/t/G/SPS/NEGY153.DOCX")</f>
      </c>
      <c r="P1075" s="6">
        <f>HYPERLINK("https://docs.wto.org/imrd/directdoc.asp?DDFDocuments/u/G/SPS/NEGY153.DOCX", "https://docs.wto.org/imrd/directdoc.asp?DDFDocuments/u/G/SPS/NEGY153.DOCX")</f>
      </c>
      <c r="Q1075" s="6">
        <f>HYPERLINK("https://docs.wto.org/imrd/directdoc.asp?DDFDocuments/v/G/SPS/NEGY153.DOCX", "https://docs.wto.org/imrd/directdoc.asp?DDFDocuments/v/G/SPS/NEGY153.DOCX")</f>
      </c>
    </row>
    <row r="1076">
      <c r="A1076" s="6" t="s">
        <v>583</v>
      </c>
      <c r="B1076" s="7">
        <v>45589</v>
      </c>
      <c r="C1076" s="9">
        <f>HYPERLINK("https://eping.wto.org/en/Search?viewData= G/SPS/N/EGY/154"," G/SPS/N/EGY/154")</f>
      </c>
      <c r="D1076" s="8" t="s">
        <v>584</v>
      </c>
      <c r="E1076" s="8" t="s">
        <v>4016</v>
      </c>
      <c r="F1076" s="8" t="s">
        <v>4017</v>
      </c>
      <c r="G1076" s="8" t="s">
        <v>22</v>
      </c>
      <c r="H1076" s="8" t="s">
        <v>4018</v>
      </c>
      <c r="I1076" s="8" t="s">
        <v>120</v>
      </c>
      <c r="J1076" s="8" t="s">
        <v>255</v>
      </c>
      <c r="K1076" s="6" t="s">
        <v>22</v>
      </c>
      <c r="L1076" s="7">
        <v>45649</v>
      </c>
      <c r="M1076" s="6" t="s">
        <v>32</v>
      </c>
      <c r="N1076" s="6"/>
      <c r="O1076" s="6">
        <f>HYPERLINK("https://docs.wto.org/imrd/directdoc.asp?DDFDocuments/t/G/SPS/NEGY154.DOCX", "https://docs.wto.org/imrd/directdoc.asp?DDFDocuments/t/G/SPS/NEGY154.DOCX")</f>
      </c>
      <c r="P1076" s="6">
        <f>HYPERLINK("https://docs.wto.org/imrd/directdoc.asp?DDFDocuments/u/G/SPS/NEGY154.DOCX", "https://docs.wto.org/imrd/directdoc.asp?DDFDocuments/u/G/SPS/NEGY154.DOCX")</f>
      </c>
      <c r="Q1076" s="6">
        <f>HYPERLINK("https://docs.wto.org/imrd/directdoc.asp?DDFDocuments/v/G/SPS/NEGY154.DOCX", "https://docs.wto.org/imrd/directdoc.asp?DDFDocuments/v/G/SPS/NEGY154.DOCX")</f>
      </c>
    </row>
    <row r="1077">
      <c r="A1077" s="6" t="s">
        <v>3271</v>
      </c>
      <c r="B1077" s="7">
        <v>45589</v>
      </c>
      <c r="C1077" s="9">
        <f>HYPERLINK("https://eping.wto.org/en/Search?viewData= G/TBT/N/BHR/716"," G/TBT/N/BHR/716")</f>
      </c>
      <c r="D1077" s="8" t="s">
        <v>4019</v>
      </c>
      <c r="E1077" s="8" t="s">
        <v>4020</v>
      </c>
      <c r="F1077" s="8" t="s">
        <v>1985</v>
      </c>
      <c r="G1077" s="8" t="s">
        <v>22</v>
      </c>
      <c r="H1077" s="8" t="s">
        <v>1986</v>
      </c>
      <c r="I1077" s="8" t="s">
        <v>3262</v>
      </c>
      <c r="J1077" s="8" t="s">
        <v>22</v>
      </c>
      <c r="K1077" s="6"/>
      <c r="L1077" s="7">
        <v>45649</v>
      </c>
      <c r="M1077" s="6" t="s">
        <v>32</v>
      </c>
      <c r="N1077" s="8" t="s">
        <v>4021</v>
      </c>
      <c r="O1077" s="6">
        <f>HYPERLINK("https://docs.wto.org/imrd/directdoc.asp?DDFDocuments/t/G/TBTN24/BHR716.DOCX", "https://docs.wto.org/imrd/directdoc.asp?DDFDocuments/t/G/TBTN24/BHR716.DOCX")</f>
      </c>
      <c r="P1077" s="6">
        <f>HYPERLINK("https://docs.wto.org/imrd/directdoc.asp?DDFDocuments/u/G/TBTN24/BHR716.DOCX", "https://docs.wto.org/imrd/directdoc.asp?DDFDocuments/u/G/TBTN24/BHR716.DOCX")</f>
      </c>
      <c r="Q1077" s="6">
        <f>HYPERLINK("https://docs.wto.org/imrd/directdoc.asp?DDFDocuments/v/G/TBTN24/BHR716.DOCX", "https://docs.wto.org/imrd/directdoc.asp?DDFDocuments/v/G/TBTN24/BHR716.DOCX")</f>
      </c>
    </row>
    <row r="1078">
      <c r="A1078" s="6" t="s">
        <v>583</v>
      </c>
      <c r="B1078" s="7">
        <v>45589</v>
      </c>
      <c r="C1078" s="9">
        <f>HYPERLINK("https://eping.wto.org/en/Search?viewData= G/SPS/N/EGY/155"," G/SPS/N/EGY/155")</f>
      </c>
      <c r="D1078" s="8" t="s">
        <v>584</v>
      </c>
      <c r="E1078" s="8" t="s">
        <v>4022</v>
      </c>
      <c r="F1078" s="8" t="s">
        <v>4023</v>
      </c>
      <c r="G1078" s="8" t="s">
        <v>22</v>
      </c>
      <c r="H1078" s="8" t="s">
        <v>556</v>
      </c>
      <c r="I1078" s="8" t="s">
        <v>120</v>
      </c>
      <c r="J1078" s="8" t="s">
        <v>255</v>
      </c>
      <c r="K1078" s="6" t="s">
        <v>22</v>
      </c>
      <c r="L1078" s="7">
        <v>45649</v>
      </c>
      <c r="M1078" s="6" t="s">
        <v>32</v>
      </c>
      <c r="N1078" s="6"/>
      <c r="O1078" s="6">
        <f>HYPERLINK("https://docs.wto.org/imrd/directdoc.asp?DDFDocuments/t/G/SPS/NEGY155.DOCX", "https://docs.wto.org/imrd/directdoc.asp?DDFDocuments/t/G/SPS/NEGY155.DOCX")</f>
      </c>
      <c r="P1078" s="6">
        <f>HYPERLINK("https://docs.wto.org/imrd/directdoc.asp?DDFDocuments/u/G/SPS/NEGY155.DOCX", "https://docs.wto.org/imrd/directdoc.asp?DDFDocuments/u/G/SPS/NEGY155.DOCX")</f>
      </c>
      <c r="Q1078" s="6">
        <f>HYPERLINK("https://docs.wto.org/imrd/directdoc.asp?DDFDocuments/v/G/SPS/NEGY155.DOCX", "https://docs.wto.org/imrd/directdoc.asp?DDFDocuments/v/G/SPS/NEGY155.DOCX")</f>
      </c>
    </row>
    <row r="1079">
      <c r="A1079" s="6" t="s">
        <v>583</v>
      </c>
      <c r="B1079" s="7">
        <v>45589</v>
      </c>
      <c r="C1079" s="9">
        <f>HYPERLINK("https://eping.wto.org/en/Search?viewData= G/SPS/N/EGY/150"," G/SPS/N/EGY/150")</f>
      </c>
      <c r="D1079" s="8" t="s">
        <v>584</v>
      </c>
      <c r="E1079" s="8" t="s">
        <v>4024</v>
      </c>
      <c r="F1079" s="8" t="s">
        <v>4025</v>
      </c>
      <c r="G1079" s="8" t="s">
        <v>22</v>
      </c>
      <c r="H1079" s="8" t="s">
        <v>893</v>
      </c>
      <c r="I1079" s="8" t="s">
        <v>120</v>
      </c>
      <c r="J1079" s="8" t="s">
        <v>255</v>
      </c>
      <c r="K1079" s="6" t="s">
        <v>22</v>
      </c>
      <c r="L1079" s="7">
        <v>45649</v>
      </c>
      <c r="M1079" s="6" t="s">
        <v>32</v>
      </c>
      <c r="N1079" s="6"/>
      <c r="O1079" s="6">
        <f>HYPERLINK("https://docs.wto.org/imrd/directdoc.asp?DDFDocuments/t/G/SPS/NEGY150.DOCX", "https://docs.wto.org/imrd/directdoc.asp?DDFDocuments/t/G/SPS/NEGY150.DOCX")</f>
      </c>
      <c r="P1079" s="6">
        <f>HYPERLINK("https://docs.wto.org/imrd/directdoc.asp?DDFDocuments/u/G/SPS/NEGY150.DOCX", "https://docs.wto.org/imrd/directdoc.asp?DDFDocuments/u/G/SPS/NEGY150.DOCX")</f>
      </c>
      <c r="Q1079" s="6">
        <f>HYPERLINK("https://docs.wto.org/imrd/directdoc.asp?DDFDocuments/v/G/SPS/NEGY150.DOCX", "https://docs.wto.org/imrd/directdoc.asp?DDFDocuments/v/G/SPS/NEGY150.DOCX")</f>
      </c>
    </row>
    <row r="1080">
      <c r="A1080" s="6" t="s">
        <v>583</v>
      </c>
      <c r="B1080" s="7">
        <v>45589</v>
      </c>
      <c r="C1080" s="9">
        <f>HYPERLINK("https://eping.wto.org/en/Search?viewData= G/SPS/N/EGY/152"," G/SPS/N/EGY/152")</f>
      </c>
      <c r="D1080" s="8" t="s">
        <v>584</v>
      </c>
      <c r="E1080" s="8" t="s">
        <v>4026</v>
      </c>
      <c r="F1080" s="8" t="s">
        <v>4027</v>
      </c>
      <c r="G1080" s="8" t="s">
        <v>22</v>
      </c>
      <c r="H1080" s="8" t="s">
        <v>3764</v>
      </c>
      <c r="I1080" s="8" t="s">
        <v>120</v>
      </c>
      <c r="J1080" s="8" t="s">
        <v>255</v>
      </c>
      <c r="K1080" s="6" t="s">
        <v>22</v>
      </c>
      <c r="L1080" s="7">
        <v>45649</v>
      </c>
      <c r="M1080" s="6" t="s">
        <v>32</v>
      </c>
      <c r="N1080" s="6"/>
      <c r="O1080" s="6">
        <f>HYPERLINK("https://docs.wto.org/imrd/directdoc.asp?DDFDocuments/t/G/SPS/NEGY152.DOCX", "https://docs.wto.org/imrd/directdoc.asp?DDFDocuments/t/G/SPS/NEGY152.DOCX")</f>
      </c>
      <c r="P1080" s="6">
        <f>HYPERLINK("https://docs.wto.org/imrd/directdoc.asp?DDFDocuments/u/G/SPS/NEGY152.DOCX", "https://docs.wto.org/imrd/directdoc.asp?DDFDocuments/u/G/SPS/NEGY152.DOCX")</f>
      </c>
      <c r="Q1080" s="6">
        <f>HYPERLINK("https://docs.wto.org/imrd/directdoc.asp?DDFDocuments/v/G/SPS/NEGY152.DOCX", "https://docs.wto.org/imrd/directdoc.asp?DDFDocuments/v/G/SPS/NEGY152.DOCX")</f>
      </c>
    </row>
    <row r="1081">
      <c r="A1081" s="6" t="s">
        <v>583</v>
      </c>
      <c r="B1081" s="7">
        <v>45589</v>
      </c>
      <c r="C1081" s="9">
        <f>HYPERLINK("https://eping.wto.org/en/Search?viewData= G/SPS/N/EGY/151"," G/SPS/N/EGY/151")</f>
      </c>
      <c r="D1081" s="8" t="s">
        <v>584</v>
      </c>
      <c r="E1081" s="8" t="s">
        <v>4028</v>
      </c>
      <c r="F1081" s="8" t="s">
        <v>4027</v>
      </c>
      <c r="G1081" s="8" t="s">
        <v>22</v>
      </c>
      <c r="H1081" s="8" t="s">
        <v>3764</v>
      </c>
      <c r="I1081" s="8" t="s">
        <v>120</v>
      </c>
      <c r="J1081" s="8" t="s">
        <v>255</v>
      </c>
      <c r="K1081" s="6" t="s">
        <v>22</v>
      </c>
      <c r="L1081" s="7">
        <v>45649</v>
      </c>
      <c r="M1081" s="6" t="s">
        <v>32</v>
      </c>
      <c r="N1081" s="6"/>
      <c r="O1081" s="6">
        <f>HYPERLINK("https://docs.wto.org/imrd/directdoc.asp?DDFDocuments/t/G/SPS/NEGY151.DOCX", "https://docs.wto.org/imrd/directdoc.asp?DDFDocuments/t/G/SPS/NEGY151.DOCX")</f>
      </c>
      <c r="P1081" s="6">
        <f>HYPERLINK("https://docs.wto.org/imrd/directdoc.asp?DDFDocuments/u/G/SPS/NEGY151.DOCX", "https://docs.wto.org/imrd/directdoc.asp?DDFDocuments/u/G/SPS/NEGY151.DOCX")</f>
      </c>
      <c r="Q1081" s="6">
        <f>HYPERLINK("https://docs.wto.org/imrd/directdoc.asp?DDFDocuments/v/G/SPS/NEGY151.DOCX", "https://docs.wto.org/imrd/directdoc.asp?DDFDocuments/v/G/SPS/NEGY151.DOCX")</f>
      </c>
    </row>
    <row r="1082">
      <c r="A1082" s="6" t="s">
        <v>583</v>
      </c>
      <c r="B1082" s="7">
        <v>45589</v>
      </c>
      <c r="C1082" s="9">
        <f>HYPERLINK("https://eping.wto.org/en/Search?viewData= G/TBT/N/EGY/490/Corr.1"," G/TBT/N/EGY/490/Corr.1")</f>
      </c>
      <c r="D1082" s="8" t="s">
        <v>4029</v>
      </c>
      <c r="E1082" s="8" t="s">
        <v>4030</v>
      </c>
      <c r="F1082" s="8" t="s">
        <v>4031</v>
      </c>
      <c r="G1082" s="8" t="s">
        <v>22</v>
      </c>
      <c r="H1082" s="8" t="s">
        <v>4032</v>
      </c>
      <c r="I1082" s="8" t="s">
        <v>138</v>
      </c>
      <c r="J1082" s="8" t="s">
        <v>22</v>
      </c>
      <c r="K1082" s="6"/>
      <c r="L1082" s="7" t="s">
        <v>22</v>
      </c>
      <c r="M1082" s="6" t="s">
        <v>248</v>
      </c>
      <c r="N1082" s="6"/>
      <c r="O1082" s="6">
        <f>HYPERLINK("https://docs.wto.org/imrd/directdoc.asp?DDFDocuments/t/G/TBTN24/EGY490C1.DOCX", "https://docs.wto.org/imrd/directdoc.asp?DDFDocuments/t/G/TBTN24/EGY490C1.DOCX")</f>
      </c>
      <c r="P1082" s="6">
        <f>HYPERLINK("https://docs.wto.org/imrd/directdoc.asp?DDFDocuments/u/G/TBTN24/EGY490C1.DOCX", "https://docs.wto.org/imrd/directdoc.asp?DDFDocuments/u/G/TBTN24/EGY490C1.DOCX")</f>
      </c>
      <c r="Q1082" s="6">
        <f>HYPERLINK("https://docs.wto.org/imrd/directdoc.asp?DDFDocuments/v/G/TBTN24/EGY490C1.DOCX", "https://docs.wto.org/imrd/directdoc.asp?DDFDocuments/v/G/TBTN24/EGY490C1.DOCX")</f>
      </c>
    </row>
    <row r="1083">
      <c r="A1083" s="6" t="s">
        <v>170</v>
      </c>
      <c r="B1083" s="7">
        <v>45589</v>
      </c>
      <c r="C1083" s="9">
        <f>HYPERLINK("https://eping.wto.org/en/Search?viewData= G/SPS/N/SAU/540"," G/SPS/N/SAU/540")</f>
      </c>
      <c r="D1083" s="8" t="s">
        <v>4033</v>
      </c>
      <c r="E1083" s="8" t="s">
        <v>4034</v>
      </c>
      <c r="F1083" s="8" t="s">
        <v>4035</v>
      </c>
      <c r="G1083" s="8" t="s">
        <v>328</v>
      </c>
      <c r="H1083" s="8" t="s">
        <v>22</v>
      </c>
      <c r="I1083" s="8" t="s">
        <v>175</v>
      </c>
      <c r="J1083" s="8" t="s">
        <v>4036</v>
      </c>
      <c r="K1083" s="6" t="s">
        <v>1130</v>
      </c>
      <c r="L1083" s="7" t="s">
        <v>22</v>
      </c>
      <c r="M1083" s="6" t="s">
        <v>331</v>
      </c>
      <c r="N1083" s="8" t="s">
        <v>4037</v>
      </c>
      <c r="O1083" s="6">
        <f>HYPERLINK("https://docs.wto.org/imrd/directdoc.asp?DDFDocuments/t/G/SPS/NSAU540.DOCX", "https://docs.wto.org/imrd/directdoc.asp?DDFDocuments/t/G/SPS/NSAU540.DOCX")</f>
      </c>
      <c r="P1083" s="6">
        <f>HYPERLINK("https://docs.wto.org/imrd/directdoc.asp?DDFDocuments/u/G/SPS/NSAU540.DOCX", "https://docs.wto.org/imrd/directdoc.asp?DDFDocuments/u/G/SPS/NSAU540.DOCX")</f>
      </c>
      <c r="Q1083" s="6">
        <f>HYPERLINK("https://docs.wto.org/imrd/directdoc.asp?DDFDocuments/v/G/SPS/NSAU540.DOCX", "https://docs.wto.org/imrd/directdoc.asp?DDFDocuments/v/G/SPS/NSAU540.DOCX")</f>
      </c>
    </row>
    <row r="1084">
      <c r="A1084" s="6" t="s">
        <v>847</v>
      </c>
      <c r="B1084" s="7">
        <v>45589</v>
      </c>
      <c r="C1084" s="9">
        <f>HYPERLINK("https://eping.wto.org/en/Search?viewData= G/TBT/N/UKR/311"," G/TBT/N/UKR/311")</f>
      </c>
      <c r="D1084" s="8" t="s">
        <v>4038</v>
      </c>
      <c r="E1084" s="8" t="s">
        <v>4039</v>
      </c>
      <c r="F1084" s="8" t="s">
        <v>4040</v>
      </c>
      <c r="G1084" s="8" t="s">
        <v>22</v>
      </c>
      <c r="H1084" s="8" t="s">
        <v>22</v>
      </c>
      <c r="I1084" s="8" t="s">
        <v>4041</v>
      </c>
      <c r="J1084" s="8" t="s">
        <v>58</v>
      </c>
      <c r="K1084" s="6"/>
      <c r="L1084" s="7">
        <v>45649</v>
      </c>
      <c r="M1084" s="6" t="s">
        <v>32</v>
      </c>
      <c r="N1084" s="8" t="s">
        <v>4042</v>
      </c>
      <c r="O1084" s="6">
        <f>HYPERLINK("https://docs.wto.org/imrd/directdoc.asp?DDFDocuments/t/G/TBTN24/UKR311.DOCX", "https://docs.wto.org/imrd/directdoc.asp?DDFDocuments/t/G/TBTN24/UKR311.DOCX")</f>
      </c>
      <c r="P1084" s="6">
        <f>HYPERLINK("https://docs.wto.org/imrd/directdoc.asp?DDFDocuments/u/G/TBTN24/UKR311.DOCX", "https://docs.wto.org/imrd/directdoc.asp?DDFDocuments/u/G/TBTN24/UKR311.DOCX")</f>
      </c>
      <c r="Q1084" s="6">
        <f>HYPERLINK("https://docs.wto.org/imrd/directdoc.asp?DDFDocuments/v/G/TBTN24/UKR311.DOCX", "https://docs.wto.org/imrd/directdoc.asp?DDFDocuments/v/G/TBTN24/UKR311.DOCX")</f>
      </c>
    </row>
    <row r="1085">
      <c r="A1085" s="6" t="s">
        <v>226</v>
      </c>
      <c r="B1085" s="7">
        <v>45588</v>
      </c>
      <c r="C1085" s="9">
        <f>HYPERLINK("https://eping.wto.org/en/Search?viewData= G/TBT/N/ARE/630, G/TBT/N/BHR/714, G/TBT/N/KWT/694, G/TBT/N/OMN/538, G/TBT/N/QAT/689, G/TBT/N/SAU/1359, G/TBT/N/YEM/295"," G/TBT/N/ARE/630, G/TBT/N/BHR/714, G/TBT/N/KWT/694, G/TBT/N/OMN/538, G/TBT/N/QAT/689, G/TBT/N/SAU/1359, G/TBT/N/YEM/295")</f>
      </c>
      <c r="D1085" s="8" t="s">
        <v>4043</v>
      </c>
      <c r="E1085" s="8" t="s">
        <v>4044</v>
      </c>
      <c r="F1085" s="8" t="s">
        <v>3777</v>
      </c>
      <c r="G1085" s="8" t="s">
        <v>22</v>
      </c>
      <c r="H1085" s="8" t="s">
        <v>115</v>
      </c>
      <c r="I1085" s="8" t="s">
        <v>760</v>
      </c>
      <c r="J1085" s="8" t="s">
        <v>558</v>
      </c>
      <c r="K1085" s="6"/>
      <c r="L1085" s="7">
        <v>45648</v>
      </c>
      <c r="M1085" s="6" t="s">
        <v>32</v>
      </c>
      <c r="N1085" s="8" t="s">
        <v>4045</v>
      </c>
      <c r="O1085" s="6">
        <f>HYPERLINK("https://docs.wto.org/imrd/directdoc.asp?DDFDocuments/t/G/TBTN24/ARE630.DOCX", "https://docs.wto.org/imrd/directdoc.asp?DDFDocuments/t/G/TBTN24/ARE630.DOCX")</f>
      </c>
      <c r="P1085" s="6">
        <f>HYPERLINK("https://docs.wto.org/imrd/directdoc.asp?DDFDocuments/u/G/TBTN24/ARE630.DOCX", "https://docs.wto.org/imrd/directdoc.asp?DDFDocuments/u/G/TBTN24/ARE630.DOCX")</f>
      </c>
      <c r="Q1085" s="6">
        <f>HYPERLINK("https://docs.wto.org/imrd/directdoc.asp?DDFDocuments/v/G/TBTN24/ARE630.DOCX", "https://docs.wto.org/imrd/directdoc.asp?DDFDocuments/v/G/TBTN24/ARE630.DOCX")</f>
      </c>
    </row>
    <row r="1086">
      <c r="A1086" s="6" t="s">
        <v>82</v>
      </c>
      <c r="B1086" s="7">
        <v>45588</v>
      </c>
      <c r="C1086" s="9">
        <f>HYPERLINK("https://eping.wto.org/en/Search?viewData= G/SPS/N/BRA/2352"," G/SPS/N/BRA/2352")</f>
      </c>
      <c r="D1086" s="8" t="s">
        <v>4046</v>
      </c>
      <c r="E1086" s="8" t="s">
        <v>4047</v>
      </c>
      <c r="F1086" s="8" t="s">
        <v>4048</v>
      </c>
      <c r="G1086" s="8" t="s">
        <v>22</v>
      </c>
      <c r="H1086" s="8" t="s">
        <v>22</v>
      </c>
      <c r="I1086" s="8" t="s">
        <v>390</v>
      </c>
      <c r="J1086" s="8" t="s">
        <v>492</v>
      </c>
      <c r="K1086" s="6" t="s">
        <v>123</v>
      </c>
      <c r="L1086" s="7">
        <v>45648</v>
      </c>
      <c r="M1086" s="6" t="s">
        <v>32</v>
      </c>
      <c r="N1086" s="8" t="s">
        <v>4049</v>
      </c>
      <c r="O1086" s="6">
        <f>HYPERLINK("https://docs.wto.org/imrd/directdoc.asp?DDFDocuments/t/G/SPS/NBRA2352.DOCX", "https://docs.wto.org/imrd/directdoc.asp?DDFDocuments/t/G/SPS/NBRA2352.DOCX")</f>
      </c>
      <c r="P1086" s="6">
        <f>HYPERLINK("https://docs.wto.org/imrd/directdoc.asp?DDFDocuments/u/G/SPS/NBRA2352.DOCX", "https://docs.wto.org/imrd/directdoc.asp?DDFDocuments/u/G/SPS/NBRA2352.DOCX")</f>
      </c>
      <c r="Q1086" s="6">
        <f>HYPERLINK("https://docs.wto.org/imrd/directdoc.asp?DDFDocuments/v/G/SPS/NBRA2352.DOCX", "https://docs.wto.org/imrd/directdoc.asp?DDFDocuments/v/G/SPS/NBRA2352.DOCX")</f>
      </c>
    </row>
    <row r="1087">
      <c r="A1087" s="6" t="s">
        <v>976</v>
      </c>
      <c r="B1087" s="7">
        <v>45588</v>
      </c>
      <c r="C1087" s="9">
        <f>HYPERLINK("https://eping.wto.org/en/Search?viewData= G/TBT/N/ARE/628, G/TBT/N/BHR/712, G/TBT/N/KWT/692, G/TBT/N/OMN/536, G/TBT/N/QAT/687, G/TBT/N/SAU/1357, G/TBT/N/YEM/293"," G/TBT/N/ARE/628, G/TBT/N/BHR/712, G/TBT/N/KWT/692, G/TBT/N/OMN/536, G/TBT/N/QAT/687, G/TBT/N/SAU/1357, G/TBT/N/YEM/293")</f>
      </c>
      <c r="D1087" s="8" t="s">
        <v>4050</v>
      </c>
      <c r="E1087" s="8" t="s">
        <v>4051</v>
      </c>
      <c r="F1087" s="8" t="s">
        <v>4052</v>
      </c>
      <c r="G1087" s="8" t="s">
        <v>22</v>
      </c>
      <c r="H1087" s="8" t="s">
        <v>4053</v>
      </c>
      <c r="I1087" s="8" t="s">
        <v>2475</v>
      </c>
      <c r="J1087" s="8" t="s">
        <v>22</v>
      </c>
      <c r="K1087" s="6"/>
      <c r="L1087" s="7">
        <v>45648</v>
      </c>
      <c r="M1087" s="6" t="s">
        <v>32</v>
      </c>
      <c r="N1087" s="8" t="s">
        <v>4054</v>
      </c>
      <c r="O1087" s="6">
        <f>HYPERLINK("https://docs.wto.org/imrd/directdoc.asp?DDFDocuments/t/G/TBTN24/ARE628.DOCX", "https://docs.wto.org/imrd/directdoc.asp?DDFDocuments/t/G/TBTN24/ARE628.DOCX")</f>
      </c>
      <c r="P1087" s="6">
        <f>HYPERLINK("https://docs.wto.org/imrd/directdoc.asp?DDFDocuments/u/G/TBTN24/ARE628.DOCX", "https://docs.wto.org/imrd/directdoc.asp?DDFDocuments/u/G/TBTN24/ARE628.DOCX")</f>
      </c>
      <c r="Q1087" s="6">
        <f>HYPERLINK("https://docs.wto.org/imrd/directdoc.asp?DDFDocuments/v/G/TBTN24/ARE628.DOCX", "https://docs.wto.org/imrd/directdoc.asp?DDFDocuments/v/G/TBTN24/ARE628.DOCX")</f>
      </c>
    </row>
    <row r="1088">
      <c r="A1088" s="6" t="s">
        <v>82</v>
      </c>
      <c r="B1088" s="7">
        <v>45588</v>
      </c>
      <c r="C1088" s="9">
        <f>HYPERLINK("https://eping.wto.org/en/Search?viewData= G/TBT/N/BRA/613/Rev.1/Add.4"," G/TBT/N/BRA/613/Rev.1/Add.4")</f>
      </c>
      <c r="D1088" s="8" t="s">
        <v>4055</v>
      </c>
      <c r="E1088" s="8" t="s">
        <v>4056</v>
      </c>
      <c r="F1088" s="8" t="s">
        <v>4057</v>
      </c>
      <c r="G1088" s="8" t="s">
        <v>4058</v>
      </c>
      <c r="H1088" s="8" t="s">
        <v>4059</v>
      </c>
      <c r="I1088" s="8" t="s">
        <v>183</v>
      </c>
      <c r="J1088" s="8" t="s">
        <v>81</v>
      </c>
      <c r="K1088" s="6"/>
      <c r="L1088" s="7" t="s">
        <v>22</v>
      </c>
      <c r="M1088" s="6" t="s">
        <v>40</v>
      </c>
      <c r="N1088" s="8" t="s">
        <v>4060</v>
      </c>
      <c r="O1088" s="6">
        <f>HYPERLINK("https://docs.wto.org/imrd/directdoc.asp?DDFDocuments/t/G/TBTN14/BRA613R1A4.DOCX", "https://docs.wto.org/imrd/directdoc.asp?DDFDocuments/t/G/TBTN14/BRA613R1A4.DOCX")</f>
      </c>
      <c r="P1088" s="6">
        <f>HYPERLINK("https://docs.wto.org/imrd/directdoc.asp?DDFDocuments/u/G/TBTN14/BRA613R1A4.DOCX", "https://docs.wto.org/imrd/directdoc.asp?DDFDocuments/u/G/TBTN14/BRA613R1A4.DOCX")</f>
      </c>
      <c r="Q1088" s="6">
        <f>HYPERLINK("https://docs.wto.org/imrd/directdoc.asp?DDFDocuments/v/G/TBTN14/BRA613R1A4.DOCX", "https://docs.wto.org/imrd/directdoc.asp?DDFDocuments/v/G/TBTN14/BRA613R1A4.DOCX")</f>
      </c>
    </row>
    <row r="1089">
      <c r="A1089" s="6" t="s">
        <v>60</v>
      </c>
      <c r="B1089" s="7">
        <v>45588</v>
      </c>
      <c r="C1089" s="9">
        <f>HYPERLINK("https://eping.wto.org/en/Search?viewData= G/TBT/N/BDI/250/Add.1, G/TBT/N/KEN/1271/Add.1, G/TBT/N/RWA/680/Add.1, G/TBT/N/TZA/804/Add.1, G/TBT/N/UGA/1652/Add.1"," G/TBT/N/BDI/250/Add.1, G/TBT/N/KEN/1271/Add.1, G/TBT/N/RWA/680/Add.1, G/TBT/N/TZA/804/Add.1, G/TBT/N/UGA/1652/Add.1")</f>
      </c>
      <c r="D1089" s="8" t="s">
        <v>4061</v>
      </c>
      <c r="E1089" s="8" t="s">
        <v>4062</v>
      </c>
      <c r="F1089" s="8" t="s">
        <v>4063</v>
      </c>
      <c r="G1089" s="8" t="s">
        <v>2062</v>
      </c>
      <c r="H1089" s="8" t="s">
        <v>2063</v>
      </c>
      <c r="I1089" s="8" t="s">
        <v>4064</v>
      </c>
      <c r="J1089" s="8" t="s">
        <v>812</v>
      </c>
      <c r="K1089" s="6"/>
      <c r="L1089" s="7" t="s">
        <v>22</v>
      </c>
      <c r="M1089" s="6" t="s">
        <v>40</v>
      </c>
      <c r="N1089" s="6"/>
      <c r="O1089" s="6">
        <f>HYPERLINK("https://docs.wto.org/imrd/directdoc.asp?DDFDocuments/t/G/TBTN22/BDI250A1.DOCX", "https://docs.wto.org/imrd/directdoc.asp?DDFDocuments/t/G/TBTN22/BDI250A1.DOCX")</f>
      </c>
      <c r="P1089" s="6">
        <f>HYPERLINK("https://docs.wto.org/imrd/directdoc.asp?DDFDocuments/u/G/TBTN22/BDI250A1.DOCX", "https://docs.wto.org/imrd/directdoc.asp?DDFDocuments/u/G/TBTN22/BDI250A1.DOCX")</f>
      </c>
      <c r="Q1089" s="6">
        <f>HYPERLINK("https://docs.wto.org/imrd/directdoc.asp?DDFDocuments/v/G/TBTN22/BDI250A1.DOCX", "https://docs.wto.org/imrd/directdoc.asp?DDFDocuments/v/G/TBTN22/BDI250A1.DOCX")</f>
      </c>
    </row>
    <row r="1090">
      <c r="A1090" s="6" t="s">
        <v>26</v>
      </c>
      <c r="B1090" s="7">
        <v>45588</v>
      </c>
      <c r="C1090" s="9">
        <f>HYPERLINK("https://eping.wto.org/en/Search?viewData= G/TBT/N/BDI/284/Add.1, G/TBT/N/KEN/1318/Add.1, G/TBT/N/RWA/718/Add.1, G/TBT/N/TZA/837/Add.1, G/TBT/N/UGA/1692/Add.1"," G/TBT/N/BDI/284/Add.1, G/TBT/N/KEN/1318/Add.1, G/TBT/N/RWA/718/Add.1, G/TBT/N/TZA/837/Add.1, G/TBT/N/UGA/1692/Add.1")</f>
      </c>
      <c r="D1090" s="8" t="s">
        <v>4065</v>
      </c>
      <c r="E1090" s="8" t="s">
        <v>4066</v>
      </c>
      <c r="F1090" s="8" t="s">
        <v>4067</v>
      </c>
      <c r="G1090" s="8" t="s">
        <v>22</v>
      </c>
      <c r="H1090" s="8" t="s">
        <v>2063</v>
      </c>
      <c r="I1090" s="8" t="s">
        <v>4064</v>
      </c>
      <c r="J1090" s="8" t="s">
        <v>812</v>
      </c>
      <c r="K1090" s="6"/>
      <c r="L1090" s="7" t="s">
        <v>22</v>
      </c>
      <c r="M1090" s="6" t="s">
        <v>40</v>
      </c>
      <c r="N1090" s="6"/>
      <c r="O1090" s="6">
        <f>HYPERLINK("https://docs.wto.org/imrd/directdoc.asp?DDFDocuments/t/G/TBTN22/BDI284A1.DOCX", "https://docs.wto.org/imrd/directdoc.asp?DDFDocuments/t/G/TBTN22/BDI284A1.DOCX")</f>
      </c>
      <c r="P1090" s="6">
        <f>HYPERLINK("https://docs.wto.org/imrd/directdoc.asp?DDFDocuments/u/G/TBTN22/BDI284A1.DOCX", "https://docs.wto.org/imrd/directdoc.asp?DDFDocuments/u/G/TBTN22/BDI284A1.DOCX")</f>
      </c>
      <c r="Q1090" s="6">
        <f>HYPERLINK("https://docs.wto.org/imrd/directdoc.asp?DDFDocuments/v/G/TBTN22/BDI284A1.DOCX", "https://docs.wto.org/imrd/directdoc.asp?DDFDocuments/v/G/TBTN22/BDI284A1.DOCX")</f>
      </c>
    </row>
    <row r="1091">
      <c r="A1091" s="6" t="s">
        <v>60</v>
      </c>
      <c r="B1091" s="7">
        <v>45588</v>
      </c>
      <c r="C1091" s="9">
        <f>HYPERLINK("https://eping.wto.org/en/Search?viewData= G/TBT/N/BDI/282/Add.2, G/TBT/N/KEN/1316/Add.2, G/TBT/N/RWA/716/Add.2, G/TBT/N/TZA/835/Add.2, G/TBT/N/UGA/1690/Add.2"," G/TBT/N/BDI/282/Add.2, G/TBT/N/KEN/1316/Add.2, G/TBT/N/RWA/716/Add.2, G/TBT/N/TZA/835/Add.2, G/TBT/N/UGA/1690/Add.2")</f>
      </c>
      <c r="D1091" s="8" t="s">
        <v>4068</v>
      </c>
      <c r="E1091" s="8" t="s">
        <v>4069</v>
      </c>
      <c r="F1091" s="8" t="s">
        <v>4067</v>
      </c>
      <c r="G1091" s="8" t="s">
        <v>22</v>
      </c>
      <c r="H1091" s="8" t="s">
        <v>2063</v>
      </c>
      <c r="I1091" s="8" t="s">
        <v>4064</v>
      </c>
      <c r="J1091" s="8" t="s">
        <v>812</v>
      </c>
      <c r="K1091" s="6"/>
      <c r="L1091" s="7" t="s">
        <v>22</v>
      </c>
      <c r="M1091" s="6" t="s">
        <v>40</v>
      </c>
      <c r="N1091" s="6"/>
      <c r="O1091" s="6">
        <f>HYPERLINK("https://docs.wto.org/imrd/directdoc.asp?DDFDocuments/t/G/TBTN22/BDI282A2.DOCX", "https://docs.wto.org/imrd/directdoc.asp?DDFDocuments/t/G/TBTN22/BDI282A2.DOCX")</f>
      </c>
      <c r="P1091" s="6">
        <f>HYPERLINK("https://docs.wto.org/imrd/directdoc.asp?DDFDocuments/u/G/TBTN22/BDI282A2.DOCX", "https://docs.wto.org/imrd/directdoc.asp?DDFDocuments/u/G/TBTN22/BDI282A2.DOCX")</f>
      </c>
      <c r="Q1091" s="6">
        <f>HYPERLINK("https://docs.wto.org/imrd/directdoc.asp?DDFDocuments/v/G/TBTN22/BDI282A2.DOCX", "https://docs.wto.org/imrd/directdoc.asp?DDFDocuments/v/G/TBTN22/BDI282A2.DOCX")</f>
      </c>
    </row>
    <row r="1092">
      <c r="A1092" s="6" t="s">
        <v>60</v>
      </c>
      <c r="B1092" s="7">
        <v>45588</v>
      </c>
      <c r="C1092" s="9">
        <f>HYPERLINK("https://eping.wto.org/en/Search?viewData= G/TBT/N/BDI/287/Add.2, G/TBT/N/KEN/1321/Add.2, G/TBT/N/RWA/721/Add.2, G/TBT/N/TZA/840/Add.2, G/TBT/N/UGA/1695/Add.2"," G/TBT/N/BDI/287/Add.2, G/TBT/N/KEN/1321/Add.2, G/TBT/N/RWA/721/Add.2, G/TBT/N/TZA/840/Add.2, G/TBT/N/UGA/1695/Add.2")</f>
      </c>
      <c r="D1092" s="8" t="s">
        <v>2103</v>
      </c>
      <c r="E1092" s="8" t="s">
        <v>4070</v>
      </c>
      <c r="F1092" s="8" t="s">
        <v>2105</v>
      </c>
      <c r="G1092" s="8" t="s">
        <v>2106</v>
      </c>
      <c r="H1092" s="8" t="s">
        <v>2107</v>
      </c>
      <c r="I1092" s="8" t="s">
        <v>4071</v>
      </c>
      <c r="J1092" s="8" t="s">
        <v>812</v>
      </c>
      <c r="K1092" s="6"/>
      <c r="L1092" s="7" t="s">
        <v>22</v>
      </c>
      <c r="M1092" s="6" t="s">
        <v>40</v>
      </c>
      <c r="N1092" s="6"/>
      <c r="O1092" s="6">
        <f>HYPERLINK("https://docs.wto.org/imrd/directdoc.asp?DDFDocuments/t/G/TBTN22/BDI287A2.DOCX", "https://docs.wto.org/imrd/directdoc.asp?DDFDocuments/t/G/TBTN22/BDI287A2.DOCX")</f>
      </c>
      <c r="P1092" s="6">
        <f>HYPERLINK("https://docs.wto.org/imrd/directdoc.asp?DDFDocuments/u/G/TBTN22/BDI287A2.DOCX", "https://docs.wto.org/imrd/directdoc.asp?DDFDocuments/u/G/TBTN22/BDI287A2.DOCX")</f>
      </c>
      <c r="Q1092" s="6">
        <f>HYPERLINK("https://docs.wto.org/imrd/directdoc.asp?DDFDocuments/v/G/TBTN22/BDI287A2.DOCX", "https://docs.wto.org/imrd/directdoc.asp?DDFDocuments/v/G/TBTN22/BDI287A2.DOCX")</f>
      </c>
    </row>
    <row r="1093">
      <c r="A1093" s="6" t="s">
        <v>26</v>
      </c>
      <c r="B1093" s="7">
        <v>45588</v>
      </c>
      <c r="C1093" s="9">
        <f>HYPERLINK("https://eping.wto.org/en/Search?viewData= G/TBT/N/BDI/286/Add.2, G/TBT/N/KEN/1320/Add.2, G/TBT/N/RWA/720/Add.2, G/TBT/N/TZA/839/Add.2, G/TBT/N/UGA/1694/Add.2"," G/TBT/N/BDI/286/Add.2, G/TBT/N/KEN/1320/Add.2, G/TBT/N/RWA/720/Add.2, G/TBT/N/TZA/839/Add.2, G/TBT/N/UGA/1694/Add.2")</f>
      </c>
      <c r="D1093" s="8" t="s">
        <v>2113</v>
      </c>
      <c r="E1093" s="8" t="s">
        <v>4072</v>
      </c>
      <c r="F1093" s="8" t="s">
        <v>4073</v>
      </c>
      <c r="G1093" s="8" t="s">
        <v>2116</v>
      </c>
      <c r="H1093" s="8" t="s">
        <v>4074</v>
      </c>
      <c r="I1093" s="8" t="s">
        <v>4071</v>
      </c>
      <c r="J1093" s="8" t="s">
        <v>812</v>
      </c>
      <c r="K1093" s="6"/>
      <c r="L1093" s="7" t="s">
        <v>22</v>
      </c>
      <c r="M1093" s="6" t="s">
        <v>40</v>
      </c>
      <c r="N1093" s="6"/>
      <c r="O1093" s="6">
        <f>HYPERLINK("https://docs.wto.org/imrd/directdoc.asp?DDFDocuments/t/G/TBTN22/BDI286A2.DOCX", "https://docs.wto.org/imrd/directdoc.asp?DDFDocuments/t/G/TBTN22/BDI286A2.DOCX")</f>
      </c>
      <c r="P1093" s="6">
        <f>HYPERLINK("https://docs.wto.org/imrd/directdoc.asp?DDFDocuments/u/G/TBTN22/BDI286A2.DOCX", "https://docs.wto.org/imrd/directdoc.asp?DDFDocuments/u/G/TBTN22/BDI286A2.DOCX")</f>
      </c>
      <c r="Q1093" s="6">
        <f>HYPERLINK("https://docs.wto.org/imrd/directdoc.asp?DDFDocuments/v/G/TBTN22/BDI286A2.DOCX", "https://docs.wto.org/imrd/directdoc.asp?DDFDocuments/v/G/TBTN22/BDI286A2.DOCX")</f>
      </c>
    </row>
    <row r="1094">
      <c r="A1094" s="6" t="s">
        <v>3272</v>
      </c>
      <c r="B1094" s="7">
        <v>45588</v>
      </c>
      <c r="C1094" s="9">
        <f>HYPERLINK("https://eping.wto.org/en/Search?viewData= G/TBT/N/ARE/541/Add.1, G/TBT/N/BHR/633/Add.1, G/TBT/N/KWT/599/Add.1, G/TBT/N/OMN/469/Add.1, G/TBT/N/QAT/620/Add.1, G/TBT/N/SAU/1248/Add.1, G/TBT/N/YEM/227/Add.1"," G/TBT/N/ARE/541/Add.1, G/TBT/N/BHR/633/Add.1, G/TBT/N/KWT/599/Add.1, G/TBT/N/OMN/469/Add.1, G/TBT/N/QAT/620/Add.1, G/TBT/N/SAU/1248/Add.1, G/TBT/N/YEM/227/Add.1")</f>
      </c>
      <c r="D1094" s="8" t="s">
        <v>3831</v>
      </c>
      <c r="E1094" s="8" t="s">
        <v>4075</v>
      </c>
      <c r="F1094" s="8" t="s">
        <v>3777</v>
      </c>
      <c r="G1094" s="8" t="s">
        <v>22</v>
      </c>
      <c r="H1094" s="8" t="s">
        <v>358</v>
      </c>
      <c r="I1094" s="8" t="s">
        <v>760</v>
      </c>
      <c r="J1094" s="8" t="s">
        <v>81</v>
      </c>
      <c r="K1094" s="6"/>
      <c r="L1094" s="7" t="s">
        <v>22</v>
      </c>
      <c r="M1094" s="6" t="s">
        <v>40</v>
      </c>
      <c r="N1094" s="8" t="s">
        <v>4076</v>
      </c>
      <c r="O1094" s="6">
        <f>HYPERLINK("https://docs.wto.org/imrd/directdoc.asp?DDFDocuments/t/G/TBTN22/ARE541A1.DOCX", "https://docs.wto.org/imrd/directdoc.asp?DDFDocuments/t/G/TBTN22/ARE541A1.DOCX")</f>
      </c>
      <c r="P1094" s="6">
        <f>HYPERLINK("https://docs.wto.org/imrd/directdoc.asp?DDFDocuments/u/G/TBTN22/ARE541A1.DOCX", "https://docs.wto.org/imrd/directdoc.asp?DDFDocuments/u/G/TBTN22/ARE541A1.DOCX")</f>
      </c>
      <c r="Q1094" s="6">
        <f>HYPERLINK("https://docs.wto.org/imrd/directdoc.asp?DDFDocuments/v/G/TBTN22/ARE541A1.DOCX", "https://docs.wto.org/imrd/directdoc.asp?DDFDocuments/v/G/TBTN22/ARE541A1.DOCX")</f>
      </c>
    </row>
    <row r="1095">
      <c r="A1095" s="6" t="s">
        <v>170</v>
      </c>
      <c r="B1095" s="7">
        <v>45588</v>
      </c>
      <c r="C1095" s="9">
        <f>HYPERLINK("https://eping.wto.org/en/Search?viewData= G/TBT/N/ARE/631, G/TBT/N/BHR/715, G/TBT/N/KWT/695, G/TBT/N/OMN/539, G/TBT/N/QAT/690, G/TBT/N/SAU/1360, G/TBT/N/YEM/296"," G/TBT/N/ARE/631, G/TBT/N/BHR/715, G/TBT/N/KWT/695, G/TBT/N/OMN/539, G/TBT/N/QAT/690, G/TBT/N/SAU/1360, G/TBT/N/YEM/296")</f>
      </c>
      <c r="D1095" s="8" t="s">
        <v>4077</v>
      </c>
      <c r="E1095" s="8" t="s">
        <v>4078</v>
      </c>
      <c r="F1095" s="8" t="s">
        <v>3777</v>
      </c>
      <c r="G1095" s="8" t="s">
        <v>22</v>
      </c>
      <c r="H1095" s="8" t="s">
        <v>115</v>
      </c>
      <c r="I1095" s="8" t="s">
        <v>760</v>
      </c>
      <c r="J1095" s="8" t="s">
        <v>58</v>
      </c>
      <c r="K1095" s="6"/>
      <c r="L1095" s="7">
        <v>45648</v>
      </c>
      <c r="M1095" s="6" t="s">
        <v>32</v>
      </c>
      <c r="N1095" s="8" t="s">
        <v>4079</v>
      </c>
      <c r="O1095" s="6">
        <f>HYPERLINK("https://docs.wto.org/imrd/directdoc.asp?DDFDocuments/t/G/TBTN24/ARE631.DOCX", "https://docs.wto.org/imrd/directdoc.asp?DDFDocuments/t/G/TBTN24/ARE631.DOCX")</f>
      </c>
      <c r="P1095" s="6">
        <f>HYPERLINK("https://docs.wto.org/imrd/directdoc.asp?DDFDocuments/u/G/TBTN24/ARE631.DOCX", "https://docs.wto.org/imrd/directdoc.asp?DDFDocuments/u/G/TBTN24/ARE631.DOCX")</f>
      </c>
      <c r="Q1095" s="6">
        <f>HYPERLINK("https://docs.wto.org/imrd/directdoc.asp?DDFDocuments/v/G/TBTN24/ARE631.DOCX", "https://docs.wto.org/imrd/directdoc.asp?DDFDocuments/v/G/TBTN24/ARE631.DOCX")</f>
      </c>
    </row>
    <row r="1096">
      <c r="A1096" s="6" t="s">
        <v>68</v>
      </c>
      <c r="B1096" s="7">
        <v>45588</v>
      </c>
      <c r="C1096" s="9">
        <f>HYPERLINK("https://eping.wto.org/en/Search?viewData= G/TBT/N/BDI/286/Add.2, G/TBT/N/KEN/1320/Add.2, G/TBT/N/RWA/720/Add.2, G/TBT/N/TZA/839/Add.2, G/TBT/N/UGA/1694/Add.2"," G/TBT/N/BDI/286/Add.2, G/TBT/N/KEN/1320/Add.2, G/TBT/N/RWA/720/Add.2, G/TBT/N/TZA/839/Add.2, G/TBT/N/UGA/1694/Add.2")</f>
      </c>
      <c r="D1096" s="8" t="s">
        <v>2113</v>
      </c>
      <c r="E1096" s="8" t="s">
        <v>4072</v>
      </c>
      <c r="F1096" s="8" t="s">
        <v>4073</v>
      </c>
      <c r="G1096" s="8" t="s">
        <v>2116</v>
      </c>
      <c r="H1096" s="8" t="s">
        <v>4074</v>
      </c>
      <c r="I1096" s="8" t="s">
        <v>2162</v>
      </c>
      <c r="J1096" s="8" t="s">
        <v>81</v>
      </c>
      <c r="K1096" s="6"/>
      <c r="L1096" s="7" t="s">
        <v>22</v>
      </c>
      <c r="M1096" s="6" t="s">
        <v>40</v>
      </c>
      <c r="N1096" s="6"/>
      <c r="O1096" s="6">
        <f>HYPERLINK("https://docs.wto.org/imrd/directdoc.asp?DDFDocuments/t/G/TBTN22/BDI286A2.DOCX", "https://docs.wto.org/imrd/directdoc.asp?DDFDocuments/t/G/TBTN22/BDI286A2.DOCX")</f>
      </c>
      <c r="P1096" s="6">
        <f>HYPERLINK("https://docs.wto.org/imrd/directdoc.asp?DDFDocuments/u/G/TBTN22/BDI286A2.DOCX", "https://docs.wto.org/imrd/directdoc.asp?DDFDocuments/u/G/TBTN22/BDI286A2.DOCX")</f>
      </c>
      <c r="Q1096" s="6">
        <f>HYPERLINK("https://docs.wto.org/imrd/directdoc.asp?DDFDocuments/v/G/TBTN22/BDI286A2.DOCX", "https://docs.wto.org/imrd/directdoc.asp?DDFDocuments/v/G/TBTN22/BDI286A2.DOCX")</f>
      </c>
    </row>
    <row r="1097">
      <c r="A1097" s="6" t="s">
        <v>68</v>
      </c>
      <c r="B1097" s="7">
        <v>45588</v>
      </c>
      <c r="C1097" s="9">
        <f>HYPERLINK("https://eping.wto.org/en/Search?viewData= G/TBT/N/UGA/1341/Add.1"," G/TBT/N/UGA/1341/Add.1")</f>
      </c>
      <c r="D1097" s="8" t="s">
        <v>4080</v>
      </c>
      <c r="E1097" s="8" t="s">
        <v>4081</v>
      </c>
      <c r="F1097" s="8" t="s">
        <v>4082</v>
      </c>
      <c r="G1097" s="8" t="s">
        <v>22</v>
      </c>
      <c r="H1097" s="8" t="s">
        <v>2063</v>
      </c>
      <c r="I1097" s="8" t="s">
        <v>4083</v>
      </c>
      <c r="J1097" s="8" t="s">
        <v>81</v>
      </c>
      <c r="K1097" s="6"/>
      <c r="L1097" s="7" t="s">
        <v>22</v>
      </c>
      <c r="M1097" s="6" t="s">
        <v>40</v>
      </c>
      <c r="N1097" s="8" t="s">
        <v>4084</v>
      </c>
      <c r="O1097" s="6">
        <f>HYPERLINK("https://docs.wto.org/imrd/directdoc.asp?DDFDocuments/t/G/TBTN21/UGA1341A1.DOCX", "https://docs.wto.org/imrd/directdoc.asp?DDFDocuments/t/G/TBTN21/UGA1341A1.DOCX")</f>
      </c>
      <c r="P1097" s="6">
        <f>HYPERLINK("https://docs.wto.org/imrd/directdoc.asp?DDFDocuments/u/G/TBTN21/UGA1341A1.DOCX", "https://docs.wto.org/imrd/directdoc.asp?DDFDocuments/u/G/TBTN21/UGA1341A1.DOCX")</f>
      </c>
      <c r="Q1097" s="6">
        <f>HYPERLINK("https://docs.wto.org/imrd/directdoc.asp?DDFDocuments/v/G/TBTN21/UGA1341A1.DOCX", "https://docs.wto.org/imrd/directdoc.asp?DDFDocuments/v/G/TBTN21/UGA1341A1.DOCX")</f>
      </c>
    </row>
    <row r="1098">
      <c r="A1098" s="6" t="s">
        <v>68</v>
      </c>
      <c r="B1098" s="7">
        <v>45588</v>
      </c>
      <c r="C1098" s="9">
        <f>HYPERLINK("https://eping.wto.org/en/Search?viewData= G/TBT/N/BDI/282/Add.2, G/TBT/N/KEN/1316/Add.2, G/TBT/N/RWA/716/Add.2, G/TBT/N/TZA/835/Add.2, G/TBT/N/UGA/1690/Add.2"," G/TBT/N/BDI/282/Add.2, G/TBT/N/KEN/1316/Add.2, G/TBT/N/RWA/716/Add.2, G/TBT/N/TZA/835/Add.2, G/TBT/N/UGA/1690/Add.2")</f>
      </c>
      <c r="D1098" s="8" t="s">
        <v>4068</v>
      </c>
      <c r="E1098" s="8" t="s">
        <v>4069</v>
      </c>
      <c r="F1098" s="8" t="s">
        <v>4067</v>
      </c>
      <c r="G1098" s="8" t="s">
        <v>22</v>
      </c>
      <c r="H1098" s="8" t="s">
        <v>2063</v>
      </c>
      <c r="I1098" s="8" t="s">
        <v>3102</v>
      </c>
      <c r="J1098" s="8" t="s">
        <v>81</v>
      </c>
      <c r="K1098" s="6"/>
      <c r="L1098" s="7" t="s">
        <v>22</v>
      </c>
      <c r="M1098" s="6" t="s">
        <v>40</v>
      </c>
      <c r="N1098" s="6"/>
      <c r="O1098" s="6">
        <f>HYPERLINK("https://docs.wto.org/imrd/directdoc.asp?DDFDocuments/t/G/TBTN22/BDI282A2.DOCX", "https://docs.wto.org/imrd/directdoc.asp?DDFDocuments/t/G/TBTN22/BDI282A2.DOCX")</f>
      </c>
      <c r="P1098" s="6">
        <f>HYPERLINK("https://docs.wto.org/imrd/directdoc.asp?DDFDocuments/u/G/TBTN22/BDI282A2.DOCX", "https://docs.wto.org/imrd/directdoc.asp?DDFDocuments/u/G/TBTN22/BDI282A2.DOCX")</f>
      </c>
      <c r="Q1098" s="6">
        <f>HYPERLINK("https://docs.wto.org/imrd/directdoc.asp?DDFDocuments/v/G/TBTN22/BDI282A2.DOCX", "https://docs.wto.org/imrd/directdoc.asp?DDFDocuments/v/G/TBTN22/BDI282A2.DOCX")</f>
      </c>
    </row>
    <row r="1099">
      <c r="A1099" s="6" t="s">
        <v>3255</v>
      </c>
      <c r="B1099" s="7">
        <v>45588</v>
      </c>
      <c r="C1099" s="9">
        <f>HYPERLINK("https://eping.wto.org/en/Search?viewData= G/TBT/N/ARE/451/Add.1, G/TBT/N/BHR/555/Add.1, G/TBT/N/KWT/442/Add.1, G/TBT/N/OMN/388/Add.1, G/TBT/N/QAT/553/Add.1, G/TBT/N/SAU/1095/Add.1, G/TBT/N/YEM/156/Add.1"," G/TBT/N/ARE/451/Add.1, G/TBT/N/BHR/555/Add.1, G/TBT/N/KWT/442/Add.1, G/TBT/N/OMN/388/Add.1, G/TBT/N/QAT/553/Add.1, G/TBT/N/SAU/1095/Add.1, G/TBT/N/YEM/156/Add.1")</f>
      </c>
      <c r="D1099" s="8" t="s">
        <v>3819</v>
      </c>
      <c r="E1099" s="8" t="s">
        <v>4085</v>
      </c>
      <c r="F1099" s="8" t="s">
        <v>3777</v>
      </c>
      <c r="G1099" s="8" t="s">
        <v>3821</v>
      </c>
      <c r="H1099" s="8" t="s">
        <v>3836</v>
      </c>
      <c r="I1099" s="8" t="s">
        <v>88</v>
      </c>
      <c r="J1099" s="8" t="s">
        <v>4086</v>
      </c>
      <c r="K1099" s="6"/>
      <c r="L1099" s="7" t="s">
        <v>22</v>
      </c>
      <c r="M1099" s="6" t="s">
        <v>40</v>
      </c>
      <c r="N1099" s="8" t="s">
        <v>4087</v>
      </c>
      <c r="O1099" s="6">
        <f>HYPERLINK("https://docs.wto.org/imrd/directdoc.asp?DDFDocuments/t/G/TBTN18/ARE451A1.DOCX", "https://docs.wto.org/imrd/directdoc.asp?DDFDocuments/t/G/TBTN18/ARE451A1.DOCX")</f>
      </c>
      <c r="P1099" s="6">
        <f>HYPERLINK("https://docs.wto.org/imrd/directdoc.asp?DDFDocuments/u/G/TBTN18/ARE451A1.DOCX", "https://docs.wto.org/imrd/directdoc.asp?DDFDocuments/u/G/TBTN18/ARE451A1.DOCX")</f>
      </c>
      <c r="Q1099" s="6">
        <f>HYPERLINK("https://docs.wto.org/imrd/directdoc.asp?DDFDocuments/v/G/TBTN18/ARE451A1.DOCX", "https://docs.wto.org/imrd/directdoc.asp?DDFDocuments/v/G/TBTN18/ARE451A1.DOCX")</f>
      </c>
    </row>
    <row r="1100">
      <c r="A1100" s="6" t="s">
        <v>976</v>
      </c>
      <c r="B1100" s="7">
        <v>45588</v>
      </c>
      <c r="C1100" s="9">
        <f>HYPERLINK("https://eping.wto.org/en/Search?viewData= G/TBT/N/ARE/451/Add.1, G/TBT/N/BHR/555/Add.1, G/TBT/N/KWT/442/Add.1, G/TBT/N/OMN/388/Add.1, G/TBT/N/QAT/553/Add.1, G/TBT/N/SAU/1095/Add.1, G/TBT/N/YEM/156/Add.1"," G/TBT/N/ARE/451/Add.1, G/TBT/N/BHR/555/Add.1, G/TBT/N/KWT/442/Add.1, G/TBT/N/OMN/388/Add.1, G/TBT/N/QAT/553/Add.1, G/TBT/N/SAU/1095/Add.1, G/TBT/N/YEM/156/Add.1")</f>
      </c>
      <c r="D1100" s="8" t="s">
        <v>3819</v>
      </c>
      <c r="E1100" s="8" t="s">
        <v>4085</v>
      </c>
      <c r="F1100" s="8" t="s">
        <v>3777</v>
      </c>
      <c r="G1100" s="8" t="s">
        <v>3821</v>
      </c>
      <c r="H1100" s="8" t="s">
        <v>3836</v>
      </c>
      <c r="I1100" s="8" t="s">
        <v>88</v>
      </c>
      <c r="J1100" s="8" t="s">
        <v>4086</v>
      </c>
      <c r="K1100" s="6"/>
      <c r="L1100" s="7" t="s">
        <v>22</v>
      </c>
      <c r="M1100" s="6" t="s">
        <v>40</v>
      </c>
      <c r="N1100" s="8" t="s">
        <v>4087</v>
      </c>
      <c r="O1100" s="6">
        <f>HYPERLINK("https://docs.wto.org/imrd/directdoc.asp?DDFDocuments/t/G/TBTN18/ARE451A1.DOCX", "https://docs.wto.org/imrd/directdoc.asp?DDFDocuments/t/G/TBTN18/ARE451A1.DOCX")</f>
      </c>
      <c r="P1100" s="6">
        <f>HYPERLINK("https://docs.wto.org/imrd/directdoc.asp?DDFDocuments/u/G/TBTN18/ARE451A1.DOCX", "https://docs.wto.org/imrd/directdoc.asp?DDFDocuments/u/G/TBTN18/ARE451A1.DOCX")</f>
      </c>
      <c r="Q1100" s="6">
        <f>HYPERLINK("https://docs.wto.org/imrd/directdoc.asp?DDFDocuments/v/G/TBTN18/ARE451A1.DOCX", "https://docs.wto.org/imrd/directdoc.asp?DDFDocuments/v/G/TBTN18/ARE451A1.DOCX")</f>
      </c>
    </row>
    <row r="1101">
      <c r="A1101" s="6" t="s">
        <v>226</v>
      </c>
      <c r="B1101" s="7">
        <v>45588</v>
      </c>
      <c r="C1101" s="9">
        <f>HYPERLINK("https://eping.wto.org/en/Search?viewData= G/TBT/N/ARE/451/Add.1, G/TBT/N/BHR/555/Add.1, G/TBT/N/KWT/442/Add.1, G/TBT/N/OMN/388/Add.1, G/TBT/N/QAT/553/Add.1, G/TBT/N/SAU/1095/Add.1, G/TBT/N/YEM/156/Add.1"," G/TBT/N/ARE/451/Add.1, G/TBT/N/BHR/555/Add.1, G/TBT/N/KWT/442/Add.1, G/TBT/N/OMN/388/Add.1, G/TBT/N/QAT/553/Add.1, G/TBT/N/SAU/1095/Add.1, G/TBT/N/YEM/156/Add.1")</f>
      </c>
      <c r="D1101" s="8" t="s">
        <v>3819</v>
      </c>
      <c r="E1101" s="8" t="s">
        <v>4085</v>
      </c>
      <c r="F1101" s="8" t="s">
        <v>3777</v>
      </c>
      <c r="G1101" s="8" t="s">
        <v>3821</v>
      </c>
      <c r="H1101" s="8" t="s">
        <v>3836</v>
      </c>
      <c r="I1101" s="8" t="s">
        <v>88</v>
      </c>
      <c r="J1101" s="8" t="s">
        <v>4086</v>
      </c>
      <c r="K1101" s="6"/>
      <c r="L1101" s="7" t="s">
        <v>22</v>
      </c>
      <c r="M1101" s="6" t="s">
        <v>40</v>
      </c>
      <c r="N1101" s="8" t="s">
        <v>4087</v>
      </c>
      <c r="O1101" s="6">
        <f>HYPERLINK("https://docs.wto.org/imrd/directdoc.asp?DDFDocuments/t/G/TBTN18/ARE451A1.DOCX", "https://docs.wto.org/imrd/directdoc.asp?DDFDocuments/t/G/TBTN18/ARE451A1.DOCX")</f>
      </c>
      <c r="P1101" s="6">
        <f>HYPERLINK("https://docs.wto.org/imrd/directdoc.asp?DDFDocuments/u/G/TBTN18/ARE451A1.DOCX", "https://docs.wto.org/imrd/directdoc.asp?DDFDocuments/u/G/TBTN18/ARE451A1.DOCX")</f>
      </c>
      <c r="Q1101" s="6">
        <f>HYPERLINK("https://docs.wto.org/imrd/directdoc.asp?DDFDocuments/v/G/TBTN18/ARE451A1.DOCX", "https://docs.wto.org/imrd/directdoc.asp?DDFDocuments/v/G/TBTN18/ARE451A1.DOCX")</f>
      </c>
    </row>
    <row r="1102">
      <c r="A1102" s="6" t="s">
        <v>49</v>
      </c>
      <c r="B1102" s="7">
        <v>45588</v>
      </c>
      <c r="C1102" s="9">
        <f>HYPERLINK("https://eping.wto.org/en/Search?viewData= G/TBT/N/BDI/283/Add.2, G/TBT/N/KEN/1317/Add.2, G/TBT/N/RWA/717/Add.2, G/TBT/N/TZA/836/Add.2, G/TBT/N/UGA/1691/Add.2"," G/TBT/N/BDI/283/Add.2, G/TBT/N/KEN/1317/Add.2, G/TBT/N/RWA/717/Add.2, G/TBT/N/TZA/836/Add.2, G/TBT/N/UGA/1691/Add.2")</f>
      </c>
      <c r="D1102" s="8" t="s">
        <v>4088</v>
      </c>
      <c r="E1102" s="8" t="s">
        <v>4089</v>
      </c>
      <c r="F1102" s="8" t="s">
        <v>4067</v>
      </c>
      <c r="G1102" s="8" t="s">
        <v>22</v>
      </c>
      <c r="H1102" s="8" t="s">
        <v>2063</v>
      </c>
      <c r="I1102" s="8" t="s">
        <v>4064</v>
      </c>
      <c r="J1102" s="8" t="s">
        <v>812</v>
      </c>
      <c r="K1102" s="6"/>
      <c r="L1102" s="7" t="s">
        <v>22</v>
      </c>
      <c r="M1102" s="6" t="s">
        <v>40</v>
      </c>
      <c r="N1102" s="6"/>
      <c r="O1102" s="6">
        <f>HYPERLINK("https://docs.wto.org/imrd/directdoc.asp?DDFDocuments/t/G/TBTN22/BDI283A2.DOCX", "https://docs.wto.org/imrd/directdoc.asp?DDFDocuments/t/G/TBTN22/BDI283A2.DOCX")</f>
      </c>
      <c r="P1102" s="6">
        <f>HYPERLINK("https://docs.wto.org/imrd/directdoc.asp?DDFDocuments/u/G/TBTN22/BDI283A2.DOCX", "https://docs.wto.org/imrd/directdoc.asp?DDFDocuments/u/G/TBTN22/BDI283A2.DOCX")</f>
      </c>
      <c r="Q1102" s="6">
        <f>HYPERLINK("https://docs.wto.org/imrd/directdoc.asp?DDFDocuments/v/G/TBTN22/BDI283A2.DOCX", "https://docs.wto.org/imrd/directdoc.asp?DDFDocuments/v/G/TBTN22/BDI283A2.DOCX")</f>
      </c>
    </row>
    <row r="1103">
      <c r="A1103" s="6" t="s">
        <v>3255</v>
      </c>
      <c r="B1103" s="7">
        <v>45588</v>
      </c>
      <c r="C1103" s="9">
        <f>HYPERLINK("https://eping.wto.org/en/Search?viewData= G/TBT/N/ARE/541/Add.1, G/TBT/N/BHR/633/Add.1, G/TBT/N/KWT/599/Add.1, G/TBT/N/OMN/469/Add.1, G/TBT/N/QAT/620/Add.1, G/TBT/N/SAU/1248/Add.1, G/TBT/N/YEM/227/Add.1"," G/TBT/N/ARE/541/Add.1, G/TBT/N/BHR/633/Add.1, G/TBT/N/KWT/599/Add.1, G/TBT/N/OMN/469/Add.1, G/TBT/N/QAT/620/Add.1, G/TBT/N/SAU/1248/Add.1, G/TBT/N/YEM/227/Add.1")</f>
      </c>
      <c r="D1103" s="8" t="s">
        <v>3831</v>
      </c>
      <c r="E1103" s="8" t="s">
        <v>4075</v>
      </c>
      <c r="F1103" s="8" t="s">
        <v>3777</v>
      </c>
      <c r="G1103" s="8" t="s">
        <v>22</v>
      </c>
      <c r="H1103" s="8" t="s">
        <v>358</v>
      </c>
      <c r="I1103" s="8" t="s">
        <v>760</v>
      </c>
      <c r="J1103" s="8" t="s">
        <v>81</v>
      </c>
      <c r="K1103" s="6"/>
      <c r="L1103" s="7" t="s">
        <v>22</v>
      </c>
      <c r="M1103" s="6" t="s">
        <v>40</v>
      </c>
      <c r="N1103" s="8" t="s">
        <v>4076</v>
      </c>
      <c r="O1103" s="6">
        <f>HYPERLINK("https://docs.wto.org/imrd/directdoc.asp?DDFDocuments/t/G/TBTN22/ARE541A1.DOCX", "https://docs.wto.org/imrd/directdoc.asp?DDFDocuments/t/G/TBTN22/ARE541A1.DOCX")</f>
      </c>
      <c r="P1103" s="6">
        <f>HYPERLINK("https://docs.wto.org/imrd/directdoc.asp?DDFDocuments/u/G/TBTN22/ARE541A1.DOCX", "https://docs.wto.org/imrd/directdoc.asp?DDFDocuments/u/G/TBTN22/ARE541A1.DOCX")</f>
      </c>
      <c r="Q1103" s="6">
        <f>HYPERLINK("https://docs.wto.org/imrd/directdoc.asp?DDFDocuments/v/G/TBTN22/ARE541A1.DOCX", "https://docs.wto.org/imrd/directdoc.asp?DDFDocuments/v/G/TBTN22/ARE541A1.DOCX")</f>
      </c>
    </row>
    <row r="1104">
      <c r="A1104" s="6" t="s">
        <v>3255</v>
      </c>
      <c r="B1104" s="7">
        <v>45588</v>
      </c>
      <c r="C1104" s="9">
        <f>HYPERLINK("https://eping.wto.org/en/Search?viewData= G/TBT/N/ARE/631, G/TBT/N/BHR/715, G/TBT/N/KWT/695, G/TBT/N/OMN/539, G/TBT/N/QAT/690, G/TBT/N/SAU/1360, G/TBT/N/YEM/296"," G/TBT/N/ARE/631, G/TBT/N/BHR/715, G/TBT/N/KWT/695, G/TBT/N/OMN/539, G/TBT/N/QAT/690, G/TBT/N/SAU/1360, G/TBT/N/YEM/296")</f>
      </c>
      <c r="D1104" s="8" t="s">
        <v>4077</v>
      </c>
      <c r="E1104" s="8" t="s">
        <v>4078</v>
      </c>
      <c r="F1104" s="8" t="s">
        <v>3777</v>
      </c>
      <c r="G1104" s="8" t="s">
        <v>22</v>
      </c>
      <c r="H1104" s="8" t="s">
        <v>115</v>
      </c>
      <c r="I1104" s="8" t="s">
        <v>760</v>
      </c>
      <c r="J1104" s="8" t="s">
        <v>58</v>
      </c>
      <c r="K1104" s="6"/>
      <c r="L1104" s="7">
        <v>45648</v>
      </c>
      <c r="M1104" s="6" t="s">
        <v>32</v>
      </c>
      <c r="N1104" s="8" t="s">
        <v>4079</v>
      </c>
      <c r="O1104" s="6">
        <f>HYPERLINK("https://docs.wto.org/imrd/directdoc.asp?DDFDocuments/t/G/TBTN24/ARE631.DOCX", "https://docs.wto.org/imrd/directdoc.asp?DDFDocuments/t/G/TBTN24/ARE631.DOCX")</f>
      </c>
      <c r="P1104" s="6">
        <f>HYPERLINK("https://docs.wto.org/imrd/directdoc.asp?DDFDocuments/u/G/TBTN24/ARE631.DOCX", "https://docs.wto.org/imrd/directdoc.asp?DDFDocuments/u/G/TBTN24/ARE631.DOCX")</f>
      </c>
      <c r="Q1104" s="6">
        <f>HYPERLINK("https://docs.wto.org/imrd/directdoc.asp?DDFDocuments/v/G/TBTN24/ARE631.DOCX", "https://docs.wto.org/imrd/directdoc.asp?DDFDocuments/v/G/TBTN24/ARE631.DOCX")</f>
      </c>
    </row>
    <row r="1105">
      <c r="A1105" s="6" t="s">
        <v>53</v>
      </c>
      <c r="B1105" s="7">
        <v>45588</v>
      </c>
      <c r="C1105" s="9">
        <f>HYPERLINK("https://eping.wto.org/en/Search?viewData= G/TBT/N/BDI/250/Add.1, G/TBT/N/KEN/1271/Add.1, G/TBT/N/RWA/680/Add.1, G/TBT/N/TZA/804/Add.1, G/TBT/N/UGA/1652/Add.1"," G/TBT/N/BDI/250/Add.1, G/TBT/N/KEN/1271/Add.1, G/TBT/N/RWA/680/Add.1, G/TBT/N/TZA/804/Add.1, G/TBT/N/UGA/1652/Add.1")</f>
      </c>
      <c r="D1105" s="8" t="s">
        <v>4061</v>
      </c>
      <c r="E1105" s="8" t="s">
        <v>4062</v>
      </c>
      <c r="F1105" s="8" t="s">
        <v>4063</v>
      </c>
      <c r="G1105" s="8" t="s">
        <v>2062</v>
      </c>
      <c r="H1105" s="8" t="s">
        <v>2063</v>
      </c>
      <c r="I1105" s="8" t="s">
        <v>4064</v>
      </c>
      <c r="J1105" s="8" t="s">
        <v>812</v>
      </c>
      <c r="K1105" s="6"/>
      <c r="L1105" s="7" t="s">
        <v>22</v>
      </c>
      <c r="M1105" s="6" t="s">
        <v>40</v>
      </c>
      <c r="N1105" s="6"/>
      <c r="O1105" s="6">
        <f>HYPERLINK("https://docs.wto.org/imrd/directdoc.asp?DDFDocuments/t/G/TBTN22/BDI250A1.DOCX", "https://docs.wto.org/imrd/directdoc.asp?DDFDocuments/t/G/TBTN22/BDI250A1.DOCX")</f>
      </c>
      <c r="P1105" s="6">
        <f>HYPERLINK("https://docs.wto.org/imrd/directdoc.asp?DDFDocuments/u/G/TBTN22/BDI250A1.DOCX", "https://docs.wto.org/imrd/directdoc.asp?DDFDocuments/u/G/TBTN22/BDI250A1.DOCX")</f>
      </c>
      <c r="Q1105" s="6">
        <f>HYPERLINK("https://docs.wto.org/imrd/directdoc.asp?DDFDocuments/v/G/TBTN22/BDI250A1.DOCX", "https://docs.wto.org/imrd/directdoc.asp?DDFDocuments/v/G/TBTN22/BDI250A1.DOCX")</f>
      </c>
    </row>
    <row r="1106">
      <c r="A1106" s="6" t="s">
        <v>49</v>
      </c>
      <c r="B1106" s="7">
        <v>45588</v>
      </c>
      <c r="C1106" s="9">
        <f>HYPERLINK("https://eping.wto.org/en/Search?viewData= G/TBT/N/BDI/282/Add.2, G/TBT/N/KEN/1316/Add.2, G/TBT/N/RWA/716/Add.2, G/TBT/N/TZA/835/Add.2, G/TBT/N/UGA/1690/Add.2"," G/TBT/N/BDI/282/Add.2, G/TBT/N/KEN/1316/Add.2, G/TBT/N/RWA/716/Add.2, G/TBT/N/TZA/835/Add.2, G/TBT/N/UGA/1690/Add.2")</f>
      </c>
      <c r="D1106" s="8" t="s">
        <v>4068</v>
      </c>
      <c r="E1106" s="8" t="s">
        <v>4069</v>
      </c>
      <c r="F1106" s="8" t="s">
        <v>4067</v>
      </c>
      <c r="G1106" s="8" t="s">
        <v>22</v>
      </c>
      <c r="H1106" s="8" t="s">
        <v>2063</v>
      </c>
      <c r="I1106" s="8" t="s">
        <v>4064</v>
      </c>
      <c r="J1106" s="8" t="s">
        <v>812</v>
      </c>
      <c r="K1106" s="6"/>
      <c r="L1106" s="7" t="s">
        <v>22</v>
      </c>
      <c r="M1106" s="6" t="s">
        <v>40</v>
      </c>
      <c r="N1106" s="6"/>
      <c r="O1106" s="6">
        <f>HYPERLINK("https://docs.wto.org/imrd/directdoc.asp?DDFDocuments/t/G/TBTN22/BDI282A2.DOCX", "https://docs.wto.org/imrd/directdoc.asp?DDFDocuments/t/G/TBTN22/BDI282A2.DOCX")</f>
      </c>
      <c r="P1106" s="6">
        <f>HYPERLINK("https://docs.wto.org/imrd/directdoc.asp?DDFDocuments/u/G/TBTN22/BDI282A2.DOCX", "https://docs.wto.org/imrd/directdoc.asp?DDFDocuments/u/G/TBTN22/BDI282A2.DOCX")</f>
      </c>
      <c r="Q1106" s="6">
        <f>HYPERLINK("https://docs.wto.org/imrd/directdoc.asp?DDFDocuments/v/G/TBTN22/BDI282A2.DOCX", "https://docs.wto.org/imrd/directdoc.asp?DDFDocuments/v/G/TBTN22/BDI282A2.DOCX")</f>
      </c>
    </row>
    <row r="1107">
      <c r="A1107" s="6" t="s">
        <v>53</v>
      </c>
      <c r="B1107" s="7">
        <v>45588</v>
      </c>
      <c r="C1107" s="9">
        <f>HYPERLINK("https://eping.wto.org/en/Search?viewData= G/TBT/N/BDI/286/Add.2, G/TBT/N/KEN/1320/Add.2, G/TBT/N/RWA/720/Add.2, G/TBT/N/TZA/839/Add.2, G/TBT/N/UGA/1694/Add.2"," G/TBT/N/BDI/286/Add.2, G/TBT/N/KEN/1320/Add.2, G/TBT/N/RWA/720/Add.2, G/TBT/N/TZA/839/Add.2, G/TBT/N/UGA/1694/Add.2")</f>
      </c>
      <c r="D1107" s="8" t="s">
        <v>2113</v>
      </c>
      <c r="E1107" s="8" t="s">
        <v>4072</v>
      </c>
      <c r="F1107" s="8" t="s">
        <v>4073</v>
      </c>
      <c r="G1107" s="8" t="s">
        <v>2116</v>
      </c>
      <c r="H1107" s="8" t="s">
        <v>4074</v>
      </c>
      <c r="I1107" s="8" t="s">
        <v>4071</v>
      </c>
      <c r="J1107" s="8" t="s">
        <v>812</v>
      </c>
      <c r="K1107" s="6"/>
      <c r="L1107" s="7" t="s">
        <v>22</v>
      </c>
      <c r="M1107" s="6" t="s">
        <v>40</v>
      </c>
      <c r="N1107" s="6"/>
      <c r="O1107" s="6">
        <f>HYPERLINK("https://docs.wto.org/imrd/directdoc.asp?DDFDocuments/t/G/TBTN22/BDI286A2.DOCX", "https://docs.wto.org/imrd/directdoc.asp?DDFDocuments/t/G/TBTN22/BDI286A2.DOCX")</f>
      </c>
      <c r="P1107" s="6">
        <f>HYPERLINK("https://docs.wto.org/imrd/directdoc.asp?DDFDocuments/u/G/TBTN22/BDI286A2.DOCX", "https://docs.wto.org/imrd/directdoc.asp?DDFDocuments/u/G/TBTN22/BDI286A2.DOCX")</f>
      </c>
      <c r="Q1107" s="6">
        <f>HYPERLINK("https://docs.wto.org/imrd/directdoc.asp?DDFDocuments/v/G/TBTN22/BDI286A2.DOCX", "https://docs.wto.org/imrd/directdoc.asp?DDFDocuments/v/G/TBTN22/BDI286A2.DOCX")</f>
      </c>
    </row>
    <row r="1108">
      <c r="A1108" s="6" t="s">
        <v>53</v>
      </c>
      <c r="B1108" s="7">
        <v>45588</v>
      </c>
      <c r="C1108" s="9">
        <f>HYPERLINK("https://eping.wto.org/en/Search?viewData= G/TBT/N/BDI/288/Add.2, G/TBT/N/KEN/1322/Add.2, G/TBT/N/RWA/722/Add.2, G/TBT/N/TZA/841/Add.2, G/TBT/N/UGA/1696/Add.2"," G/TBT/N/BDI/288/Add.2, G/TBT/N/KEN/1322/Add.2, G/TBT/N/RWA/722/Add.2, G/TBT/N/TZA/841/Add.2, G/TBT/N/UGA/1696/Add.2")</f>
      </c>
      <c r="D1108" s="8" t="s">
        <v>4090</v>
      </c>
      <c r="E1108" s="8" t="s">
        <v>4091</v>
      </c>
      <c r="F1108" s="8" t="s">
        <v>4092</v>
      </c>
      <c r="G1108" s="8" t="s">
        <v>2098</v>
      </c>
      <c r="H1108" s="8" t="s">
        <v>2117</v>
      </c>
      <c r="I1108" s="8" t="s">
        <v>4071</v>
      </c>
      <c r="J1108" s="8" t="s">
        <v>812</v>
      </c>
      <c r="K1108" s="6"/>
      <c r="L1108" s="7" t="s">
        <v>22</v>
      </c>
      <c r="M1108" s="6" t="s">
        <v>40</v>
      </c>
      <c r="N1108" s="6"/>
      <c r="O1108" s="6">
        <f>HYPERLINK("https://docs.wto.org/imrd/directdoc.asp?DDFDocuments/t/G/TBTN22/BDI288A2.DOCX", "https://docs.wto.org/imrd/directdoc.asp?DDFDocuments/t/G/TBTN22/BDI288A2.DOCX")</f>
      </c>
      <c r="P1108" s="6">
        <f>HYPERLINK("https://docs.wto.org/imrd/directdoc.asp?DDFDocuments/u/G/TBTN22/BDI288A2.DOCX", "https://docs.wto.org/imrd/directdoc.asp?DDFDocuments/u/G/TBTN22/BDI288A2.DOCX")</f>
      </c>
      <c r="Q1108" s="6">
        <f>HYPERLINK("https://docs.wto.org/imrd/directdoc.asp?DDFDocuments/v/G/TBTN22/BDI288A2.DOCX", "https://docs.wto.org/imrd/directdoc.asp?DDFDocuments/v/G/TBTN22/BDI288A2.DOCX")</f>
      </c>
    </row>
    <row r="1109">
      <c r="A1109" s="6" t="s">
        <v>170</v>
      </c>
      <c r="B1109" s="7">
        <v>45588</v>
      </c>
      <c r="C1109" s="9">
        <f>HYPERLINK("https://eping.wto.org/en/Search?viewData= G/TBT/N/ARE/628, G/TBT/N/BHR/712, G/TBT/N/KWT/692, G/TBT/N/OMN/536, G/TBT/N/QAT/687, G/TBT/N/SAU/1357, G/TBT/N/YEM/293"," G/TBT/N/ARE/628, G/TBT/N/BHR/712, G/TBT/N/KWT/692, G/TBT/N/OMN/536, G/TBT/N/QAT/687, G/TBT/N/SAU/1357, G/TBT/N/YEM/293")</f>
      </c>
      <c r="D1109" s="8" t="s">
        <v>4050</v>
      </c>
      <c r="E1109" s="8" t="s">
        <v>4051</v>
      </c>
      <c r="F1109" s="8" t="s">
        <v>4052</v>
      </c>
      <c r="G1109" s="8" t="s">
        <v>22</v>
      </c>
      <c r="H1109" s="8" t="s">
        <v>4053</v>
      </c>
      <c r="I1109" s="8" t="s">
        <v>2475</v>
      </c>
      <c r="J1109" s="8" t="s">
        <v>22</v>
      </c>
      <c r="K1109" s="6"/>
      <c r="L1109" s="7">
        <v>45648</v>
      </c>
      <c r="M1109" s="6" t="s">
        <v>32</v>
      </c>
      <c r="N1109" s="8" t="s">
        <v>4054</v>
      </c>
      <c r="O1109" s="6">
        <f>HYPERLINK("https://docs.wto.org/imrd/directdoc.asp?DDFDocuments/t/G/TBTN24/ARE628.DOCX", "https://docs.wto.org/imrd/directdoc.asp?DDFDocuments/t/G/TBTN24/ARE628.DOCX")</f>
      </c>
      <c r="P1109" s="6">
        <f>HYPERLINK("https://docs.wto.org/imrd/directdoc.asp?DDFDocuments/u/G/TBTN24/ARE628.DOCX", "https://docs.wto.org/imrd/directdoc.asp?DDFDocuments/u/G/TBTN24/ARE628.DOCX")</f>
      </c>
      <c r="Q1109" s="6">
        <f>HYPERLINK("https://docs.wto.org/imrd/directdoc.asp?DDFDocuments/v/G/TBTN24/ARE628.DOCX", "https://docs.wto.org/imrd/directdoc.asp?DDFDocuments/v/G/TBTN24/ARE628.DOCX")</f>
      </c>
    </row>
    <row r="1110">
      <c r="A1110" s="6" t="s">
        <v>226</v>
      </c>
      <c r="B1110" s="7">
        <v>45588</v>
      </c>
      <c r="C1110" s="9">
        <f>HYPERLINK("https://eping.wto.org/en/Search?viewData= G/TBT/N/ARE/628, G/TBT/N/BHR/712, G/TBT/N/KWT/692, G/TBT/N/OMN/536, G/TBT/N/QAT/687, G/TBT/N/SAU/1357, G/TBT/N/YEM/293"," G/TBT/N/ARE/628, G/TBT/N/BHR/712, G/TBT/N/KWT/692, G/TBT/N/OMN/536, G/TBT/N/QAT/687, G/TBT/N/SAU/1357, G/TBT/N/YEM/293")</f>
      </c>
      <c r="D1110" s="8" t="s">
        <v>4050</v>
      </c>
      <c r="E1110" s="8" t="s">
        <v>4051</v>
      </c>
      <c r="F1110" s="8" t="s">
        <v>4052</v>
      </c>
      <c r="G1110" s="8" t="s">
        <v>22</v>
      </c>
      <c r="H1110" s="8" t="s">
        <v>4053</v>
      </c>
      <c r="I1110" s="8" t="s">
        <v>2475</v>
      </c>
      <c r="J1110" s="8" t="s">
        <v>22</v>
      </c>
      <c r="K1110" s="6"/>
      <c r="L1110" s="7">
        <v>45648</v>
      </c>
      <c r="M1110" s="6" t="s">
        <v>32</v>
      </c>
      <c r="N1110" s="8" t="s">
        <v>4054</v>
      </c>
      <c r="O1110" s="6">
        <f>HYPERLINK("https://docs.wto.org/imrd/directdoc.asp?DDFDocuments/t/G/TBTN24/ARE628.DOCX", "https://docs.wto.org/imrd/directdoc.asp?DDFDocuments/t/G/TBTN24/ARE628.DOCX")</f>
      </c>
      <c r="P1110" s="6">
        <f>HYPERLINK("https://docs.wto.org/imrd/directdoc.asp?DDFDocuments/u/G/TBTN24/ARE628.DOCX", "https://docs.wto.org/imrd/directdoc.asp?DDFDocuments/u/G/TBTN24/ARE628.DOCX")</f>
      </c>
      <c r="Q1110" s="6">
        <f>HYPERLINK("https://docs.wto.org/imrd/directdoc.asp?DDFDocuments/v/G/TBTN24/ARE628.DOCX", "https://docs.wto.org/imrd/directdoc.asp?DDFDocuments/v/G/TBTN24/ARE628.DOCX")</f>
      </c>
    </row>
    <row r="1111">
      <c r="A1111" s="6" t="s">
        <v>3272</v>
      </c>
      <c r="B1111" s="7">
        <v>45588</v>
      </c>
      <c r="C1111" s="9">
        <f>HYPERLINK("https://eping.wto.org/en/Search?viewData= G/TBT/N/ARE/631, G/TBT/N/BHR/715, G/TBT/N/KWT/695, G/TBT/N/OMN/539, G/TBT/N/QAT/690, G/TBT/N/SAU/1360, G/TBT/N/YEM/296"," G/TBT/N/ARE/631, G/TBT/N/BHR/715, G/TBT/N/KWT/695, G/TBT/N/OMN/539, G/TBT/N/QAT/690, G/TBT/N/SAU/1360, G/TBT/N/YEM/296")</f>
      </c>
      <c r="D1111" s="8" t="s">
        <v>4077</v>
      </c>
      <c r="E1111" s="8" t="s">
        <v>4078</v>
      </c>
      <c r="F1111" s="8" t="s">
        <v>3777</v>
      </c>
      <c r="G1111" s="8" t="s">
        <v>22</v>
      </c>
      <c r="H1111" s="8" t="s">
        <v>115</v>
      </c>
      <c r="I1111" s="8" t="s">
        <v>760</v>
      </c>
      <c r="J1111" s="8" t="s">
        <v>58</v>
      </c>
      <c r="K1111" s="6"/>
      <c r="L1111" s="7">
        <v>45648</v>
      </c>
      <c r="M1111" s="6" t="s">
        <v>32</v>
      </c>
      <c r="N1111" s="8" t="s">
        <v>4079</v>
      </c>
      <c r="O1111" s="6">
        <f>HYPERLINK("https://docs.wto.org/imrd/directdoc.asp?DDFDocuments/t/G/TBTN24/ARE631.DOCX", "https://docs.wto.org/imrd/directdoc.asp?DDFDocuments/t/G/TBTN24/ARE631.DOCX")</f>
      </c>
      <c r="P1111" s="6">
        <f>HYPERLINK("https://docs.wto.org/imrd/directdoc.asp?DDFDocuments/u/G/TBTN24/ARE631.DOCX", "https://docs.wto.org/imrd/directdoc.asp?DDFDocuments/u/G/TBTN24/ARE631.DOCX")</f>
      </c>
      <c r="Q1111" s="6">
        <f>HYPERLINK("https://docs.wto.org/imrd/directdoc.asp?DDFDocuments/v/G/TBTN24/ARE631.DOCX", "https://docs.wto.org/imrd/directdoc.asp?DDFDocuments/v/G/TBTN24/ARE631.DOCX")</f>
      </c>
    </row>
    <row r="1112">
      <c r="A1112" s="6" t="s">
        <v>68</v>
      </c>
      <c r="B1112" s="7">
        <v>45588</v>
      </c>
      <c r="C1112" s="9">
        <f>HYPERLINK("https://eping.wto.org/en/Search?viewData= G/TBT/N/BDI/283/Add.2, G/TBT/N/KEN/1317/Add.2, G/TBT/N/RWA/717/Add.2, G/TBT/N/TZA/836/Add.2, G/TBT/N/UGA/1691/Add.2"," G/TBT/N/BDI/283/Add.2, G/TBT/N/KEN/1317/Add.2, G/TBT/N/RWA/717/Add.2, G/TBT/N/TZA/836/Add.2, G/TBT/N/UGA/1691/Add.2")</f>
      </c>
      <c r="D1112" s="8" t="s">
        <v>4088</v>
      </c>
      <c r="E1112" s="8" t="s">
        <v>4089</v>
      </c>
      <c r="F1112" s="8" t="s">
        <v>4067</v>
      </c>
      <c r="G1112" s="8" t="s">
        <v>22</v>
      </c>
      <c r="H1112" s="8" t="s">
        <v>2063</v>
      </c>
      <c r="I1112" s="8" t="s">
        <v>3102</v>
      </c>
      <c r="J1112" s="8" t="s">
        <v>81</v>
      </c>
      <c r="K1112" s="6"/>
      <c r="L1112" s="7" t="s">
        <v>22</v>
      </c>
      <c r="M1112" s="6" t="s">
        <v>40</v>
      </c>
      <c r="N1112" s="6"/>
      <c r="O1112" s="6">
        <f>HYPERLINK("https://docs.wto.org/imrd/directdoc.asp?DDFDocuments/t/G/TBTN22/BDI283A2.DOCX", "https://docs.wto.org/imrd/directdoc.asp?DDFDocuments/t/G/TBTN22/BDI283A2.DOCX")</f>
      </c>
      <c r="P1112" s="6">
        <f>HYPERLINK("https://docs.wto.org/imrd/directdoc.asp?DDFDocuments/u/G/TBTN22/BDI283A2.DOCX", "https://docs.wto.org/imrd/directdoc.asp?DDFDocuments/u/G/TBTN22/BDI283A2.DOCX")</f>
      </c>
      <c r="Q1112" s="6">
        <f>HYPERLINK("https://docs.wto.org/imrd/directdoc.asp?DDFDocuments/v/G/TBTN22/BDI283A2.DOCX", "https://docs.wto.org/imrd/directdoc.asp?DDFDocuments/v/G/TBTN22/BDI283A2.DOCX")</f>
      </c>
    </row>
    <row r="1113">
      <c r="A1113" s="6" t="s">
        <v>68</v>
      </c>
      <c r="B1113" s="7">
        <v>45588</v>
      </c>
      <c r="C1113" s="9">
        <f>HYPERLINK("https://eping.wto.org/en/Search?viewData= G/TBT/N/BDI/250/Add.1, G/TBT/N/KEN/1271/Add.1, G/TBT/N/RWA/680/Add.1, G/TBT/N/TZA/804/Add.1, G/TBT/N/UGA/1652/Add.1"," G/TBT/N/BDI/250/Add.1, G/TBT/N/KEN/1271/Add.1, G/TBT/N/RWA/680/Add.1, G/TBT/N/TZA/804/Add.1, G/TBT/N/UGA/1652/Add.1")</f>
      </c>
      <c r="D1113" s="8" t="s">
        <v>4061</v>
      </c>
      <c r="E1113" s="8" t="s">
        <v>4062</v>
      </c>
      <c r="F1113" s="8" t="s">
        <v>4063</v>
      </c>
      <c r="G1113" s="8" t="s">
        <v>2062</v>
      </c>
      <c r="H1113" s="8" t="s">
        <v>2063</v>
      </c>
      <c r="I1113" s="8" t="s">
        <v>3102</v>
      </c>
      <c r="J1113" s="8" t="s">
        <v>81</v>
      </c>
      <c r="K1113" s="6"/>
      <c r="L1113" s="7" t="s">
        <v>22</v>
      </c>
      <c r="M1113" s="6" t="s">
        <v>40</v>
      </c>
      <c r="N1113" s="6"/>
      <c r="O1113" s="6">
        <f>HYPERLINK("https://docs.wto.org/imrd/directdoc.asp?DDFDocuments/t/G/TBTN22/BDI250A1.DOCX", "https://docs.wto.org/imrd/directdoc.asp?DDFDocuments/t/G/TBTN22/BDI250A1.DOCX")</f>
      </c>
      <c r="P1113" s="6">
        <f>HYPERLINK("https://docs.wto.org/imrd/directdoc.asp?DDFDocuments/u/G/TBTN22/BDI250A1.DOCX", "https://docs.wto.org/imrd/directdoc.asp?DDFDocuments/u/G/TBTN22/BDI250A1.DOCX")</f>
      </c>
      <c r="Q1113" s="6">
        <f>HYPERLINK("https://docs.wto.org/imrd/directdoc.asp?DDFDocuments/v/G/TBTN22/BDI250A1.DOCX", "https://docs.wto.org/imrd/directdoc.asp?DDFDocuments/v/G/TBTN22/BDI250A1.DOCX")</f>
      </c>
    </row>
    <row r="1114">
      <c r="A1114" s="6" t="s">
        <v>3271</v>
      </c>
      <c r="B1114" s="7">
        <v>45588</v>
      </c>
      <c r="C1114" s="9">
        <f>HYPERLINK("https://eping.wto.org/en/Search?viewData= G/TBT/N/ARE/628, G/TBT/N/BHR/712, G/TBT/N/KWT/692, G/TBT/N/OMN/536, G/TBT/N/QAT/687, G/TBT/N/SAU/1357, G/TBT/N/YEM/293"," G/TBT/N/ARE/628, G/TBT/N/BHR/712, G/TBT/N/KWT/692, G/TBT/N/OMN/536, G/TBT/N/QAT/687, G/TBT/N/SAU/1357, G/TBT/N/YEM/293")</f>
      </c>
      <c r="D1114" s="8" t="s">
        <v>4050</v>
      </c>
      <c r="E1114" s="8" t="s">
        <v>4051</v>
      </c>
      <c r="F1114" s="8" t="s">
        <v>4052</v>
      </c>
      <c r="G1114" s="8" t="s">
        <v>22</v>
      </c>
      <c r="H1114" s="8" t="s">
        <v>4053</v>
      </c>
      <c r="I1114" s="8" t="s">
        <v>2475</v>
      </c>
      <c r="J1114" s="8" t="s">
        <v>22</v>
      </c>
      <c r="K1114" s="6"/>
      <c r="L1114" s="7">
        <v>45648</v>
      </c>
      <c r="M1114" s="6" t="s">
        <v>32</v>
      </c>
      <c r="N1114" s="8" t="s">
        <v>4054</v>
      </c>
      <c r="O1114" s="6">
        <f>HYPERLINK("https://docs.wto.org/imrd/directdoc.asp?DDFDocuments/t/G/TBTN24/ARE628.DOCX", "https://docs.wto.org/imrd/directdoc.asp?DDFDocuments/t/G/TBTN24/ARE628.DOCX")</f>
      </c>
      <c r="P1114" s="6">
        <f>HYPERLINK("https://docs.wto.org/imrd/directdoc.asp?DDFDocuments/u/G/TBTN24/ARE628.DOCX", "https://docs.wto.org/imrd/directdoc.asp?DDFDocuments/u/G/TBTN24/ARE628.DOCX")</f>
      </c>
      <c r="Q1114" s="6">
        <f>HYPERLINK("https://docs.wto.org/imrd/directdoc.asp?DDFDocuments/v/G/TBTN24/ARE628.DOCX", "https://docs.wto.org/imrd/directdoc.asp?DDFDocuments/v/G/TBTN24/ARE628.DOCX")</f>
      </c>
    </row>
    <row r="1115">
      <c r="A1115" s="6" t="s">
        <v>3272</v>
      </c>
      <c r="B1115" s="7">
        <v>45588</v>
      </c>
      <c r="C1115" s="9">
        <f>HYPERLINK("https://eping.wto.org/en/Search?viewData= G/TBT/N/ARE/628, G/TBT/N/BHR/712, G/TBT/N/KWT/692, G/TBT/N/OMN/536, G/TBT/N/QAT/687, G/TBT/N/SAU/1357, G/TBT/N/YEM/293"," G/TBT/N/ARE/628, G/TBT/N/BHR/712, G/TBT/N/KWT/692, G/TBT/N/OMN/536, G/TBT/N/QAT/687, G/TBT/N/SAU/1357, G/TBT/N/YEM/293")</f>
      </c>
      <c r="D1115" s="8" t="s">
        <v>4050</v>
      </c>
      <c r="E1115" s="8" t="s">
        <v>4051</v>
      </c>
      <c r="F1115" s="8" t="s">
        <v>4052</v>
      </c>
      <c r="G1115" s="8" t="s">
        <v>22</v>
      </c>
      <c r="H1115" s="8" t="s">
        <v>4053</v>
      </c>
      <c r="I1115" s="8" t="s">
        <v>2475</v>
      </c>
      <c r="J1115" s="8" t="s">
        <v>22</v>
      </c>
      <c r="K1115" s="6"/>
      <c r="L1115" s="7">
        <v>45648</v>
      </c>
      <c r="M1115" s="6" t="s">
        <v>32</v>
      </c>
      <c r="N1115" s="8" t="s">
        <v>4054</v>
      </c>
      <c r="O1115" s="6">
        <f>HYPERLINK("https://docs.wto.org/imrd/directdoc.asp?DDFDocuments/t/G/TBTN24/ARE628.DOCX", "https://docs.wto.org/imrd/directdoc.asp?DDFDocuments/t/G/TBTN24/ARE628.DOCX")</f>
      </c>
      <c r="P1115" s="6">
        <f>HYPERLINK("https://docs.wto.org/imrd/directdoc.asp?DDFDocuments/u/G/TBTN24/ARE628.DOCX", "https://docs.wto.org/imrd/directdoc.asp?DDFDocuments/u/G/TBTN24/ARE628.DOCX")</f>
      </c>
      <c r="Q1115" s="6">
        <f>HYPERLINK("https://docs.wto.org/imrd/directdoc.asp?DDFDocuments/v/G/TBTN24/ARE628.DOCX", "https://docs.wto.org/imrd/directdoc.asp?DDFDocuments/v/G/TBTN24/ARE628.DOCX")</f>
      </c>
    </row>
    <row r="1116">
      <c r="A1116" s="6" t="s">
        <v>68</v>
      </c>
      <c r="B1116" s="7">
        <v>45588</v>
      </c>
      <c r="C1116" s="9">
        <f>HYPERLINK("https://eping.wto.org/en/Search?viewData= G/TBT/N/BDI/288/Add.2, G/TBT/N/KEN/1322/Add.2, G/TBT/N/RWA/722/Add.2, G/TBT/N/TZA/841/Add.2, G/TBT/N/UGA/1696/Add.2"," G/TBT/N/BDI/288/Add.2, G/TBT/N/KEN/1322/Add.2, G/TBT/N/RWA/722/Add.2, G/TBT/N/TZA/841/Add.2, G/TBT/N/UGA/1696/Add.2")</f>
      </c>
      <c r="D1116" s="8" t="s">
        <v>4090</v>
      </c>
      <c r="E1116" s="8" t="s">
        <v>4091</v>
      </c>
      <c r="F1116" s="8" t="s">
        <v>4092</v>
      </c>
      <c r="G1116" s="8" t="s">
        <v>2098</v>
      </c>
      <c r="H1116" s="8" t="s">
        <v>2117</v>
      </c>
      <c r="I1116" s="8" t="s">
        <v>2162</v>
      </c>
      <c r="J1116" s="8" t="s">
        <v>81</v>
      </c>
      <c r="K1116" s="6"/>
      <c r="L1116" s="7" t="s">
        <v>22</v>
      </c>
      <c r="M1116" s="6" t="s">
        <v>40</v>
      </c>
      <c r="N1116" s="6"/>
      <c r="O1116" s="6">
        <f>HYPERLINK("https://docs.wto.org/imrd/directdoc.asp?DDFDocuments/t/G/TBTN22/BDI288A2.DOCX", "https://docs.wto.org/imrd/directdoc.asp?DDFDocuments/t/G/TBTN22/BDI288A2.DOCX")</f>
      </c>
      <c r="P1116" s="6">
        <f>HYPERLINK("https://docs.wto.org/imrd/directdoc.asp?DDFDocuments/u/G/TBTN22/BDI288A2.DOCX", "https://docs.wto.org/imrd/directdoc.asp?DDFDocuments/u/G/TBTN22/BDI288A2.DOCX")</f>
      </c>
      <c r="Q1116" s="6">
        <f>HYPERLINK("https://docs.wto.org/imrd/directdoc.asp?DDFDocuments/v/G/TBTN22/BDI288A2.DOCX", "https://docs.wto.org/imrd/directdoc.asp?DDFDocuments/v/G/TBTN22/BDI288A2.DOCX")</f>
      </c>
    </row>
    <row r="1117">
      <c r="A1117" s="6" t="s">
        <v>49</v>
      </c>
      <c r="B1117" s="7">
        <v>45588</v>
      </c>
      <c r="C1117" s="9">
        <f>HYPERLINK("https://eping.wto.org/en/Search?viewData= G/TBT/N/BDI/281/Add.2, G/TBT/N/KEN/1315/Add.2, G/TBT/N/RWA/715/Add.2, G/TBT/N/TZA/834/Add.2, G/TBT/N/UGA/1689/Add.2"," G/TBT/N/BDI/281/Add.2, G/TBT/N/KEN/1315/Add.2, G/TBT/N/RWA/715/Add.2, G/TBT/N/TZA/834/Add.2, G/TBT/N/UGA/1689/Add.2")</f>
      </c>
      <c r="D1117" s="8" t="s">
        <v>4093</v>
      </c>
      <c r="E1117" s="8" t="s">
        <v>4094</v>
      </c>
      <c r="F1117" s="8" t="s">
        <v>4067</v>
      </c>
      <c r="G1117" s="8" t="s">
        <v>22</v>
      </c>
      <c r="H1117" s="8" t="s">
        <v>2063</v>
      </c>
      <c r="I1117" s="8" t="s">
        <v>4064</v>
      </c>
      <c r="J1117" s="8" t="s">
        <v>812</v>
      </c>
      <c r="K1117" s="6"/>
      <c r="L1117" s="7" t="s">
        <v>22</v>
      </c>
      <c r="M1117" s="6" t="s">
        <v>40</v>
      </c>
      <c r="N1117" s="6"/>
      <c r="O1117" s="6">
        <f>HYPERLINK("https://docs.wto.org/imrd/directdoc.asp?DDFDocuments/t/G/TBTN22/BDI281A2.DOCX", "https://docs.wto.org/imrd/directdoc.asp?DDFDocuments/t/G/TBTN22/BDI281A2.DOCX")</f>
      </c>
      <c r="P1117" s="6">
        <f>HYPERLINK("https://docs.wto.org/imrd/directdoc.asp?DDFDocuments/u/G/TBTN22/BDI281A2.DOCX", "https://docs.wto.org/imrd/directdoc.asp?DDFDocuments/u/G/TBTN22/BDI281A2.DOCX")</f>
      </c>
      <c r="Q1117" s="6">
        <f>HYPERLINK("https://docs.wto.org/imrd/directdoc.asp?DDFDocuments/v/G/TBTN22/BDI281A2.DOCX", "https://docs.wto.org/imrd/directdoc.asp?DDFDocuments/v/G/TBTN22/BDI281A2.DOCX")</f>
      </c>
    </row>
    <row r="1118">
      <c r="A1118" s="6" t="s">
        <v>60</v>
      </c>
      <c r="B1118" s="7">
        <v>45588</v>
      </c>
      <c r="C1118" s="9">
        <f>HYPERLINK("https://eping.wto.org/en/Search?viewData= G/TBT/N/BDI/285/Add.2, G/TBT/N/KEN/1319/Add.2, G/TBT/N/RWA/719/Add.2, G/TBT/N/TZA/838/Add.2, G/TBT/N/UGA/1693/Add.2"," G/TBT/N/BDI/285/Add.2, G/TBT/N/KEN/1319/Add.2, G/TBT/N/RWA/719/Add.2, G/TBT/N/TZA/838/Add.2, G/TBT/N/UGA/1693/Add.2")</f>
      </c>
      <c r="D1118" s="8" t="s">
        <v>4095</v>
      </c>
      <c r="E1118" s="8" t="s">
        <v>4096</v>
      </c>
      <c r="F1118" s="8" t="s">
        <v>4067</v>
      </c>
      <c r="G1118" s="8" t="s">
        <v>22</v>
      </c>
      <c r="H1118" s="8" t="s">
        <v>2063</v>
      </c>
      <c r="I1118" s="8" t="s">
        <v>4064</v>
      </c>
      <c r="J1118" s="8" t="s">
        <v>812</v>
      </c>
      <c r="K1118" s="6"/>
      <c r="L1118" s="7" t="s">
        <v>22</v>
      </c>
      <c r="M1118" s="6" t="s">
        <v>40</v>
      </c>
      <c r="N1118" s="6"/>
      <c r="O1118" s="6">
        <f>HYPERLINK("https://docs.wto.org/imrd/directdoc.asp?DDFDocuments/t/G/TBTN22/BDI285A2.DOCX", "https://docs.wto.org/imrd/directdoc.asp?DDFDocuments/t/G/TBTN22/BDI285A2.DOCX")</f>
      </c>
      <c r="P1118" s="6">
        <f>HYPERLINK("https://docs.wto.org/imrd/directdoc.asp?DDFDocuments/u/G/TBTN22/BDI285A2.DOCX", "https://docs.wto.org/imrd/directdoc.asp?DDFDocuments/u/G/TBTN22/BDI285A2.DOCX")</f>
      </c>
      <c r="Q1118" s="6">
        <f>HYPERLINK("https://docs.wto.org/imrd/directdoc.asp?DDFDocuments/v/G/TBTN22/BDI285A2.DOCX", "https://docs.wto.org/imrd/directdoc.asp?DDFDocuments/v/G/TBTN22/BDI285A2.DOCX")</f>
      </c>
    </row>
    <row r="1119">
      <c r="A1119" s="6" t="s">
        <v>53</v>
      </c>
      <c r="B1119" s="7">
        <v>45588</v>
      </c>
      <c r="C1119" s="9">
        <f>HYPERLINK("https://eping.wto.org/en/Search?viewData= G/TBT/N/BDI/285/Add.2, G/TBT/N/KEN/1319/Add.2, G/TBT/N/RWA/719/Add.2, G/TBT/N/TZA/838/Add.2, G/TBT/N/UGA/1693/Add.2"," G/TBT/N/BDI/285/Add.2, G/TBT/N/KEN/1319/Add.2, G/TBT/N/RWA/719/Add.2, G/TBT/N/TZA/838/Add.2, G/TBT/N/UGA/1693/Add.2")</f>
      </c>
      <c r="D1119" s="8" t="s">
        <v>4095</v>
      </c>
      <c r="E1119" s="8" t="s">
        <v>4096</v>
      </c>
      <c r="F1119" s="8" t="s">
        <v>4067</v>
      </c>
      <c r="G1119" s="8" t="s">
        <v>22</v>
      </c>
      <c r="H1119" s="8" t="s">
        <v>2063</v>
      </c>
      <c r="I1119" s="8" t="s">
        <v>4064</v>
      </c>
      <c r="J1119" s="8" t="s">
        <v>812</v>
      </c>
      <c r="K1119" s="6"/>
      <c r="L1119" s="7" t="s">
        <v>22</v>
      </c>
      <c r="M1119" s="6" t="s">
        <v>40</v>
      </c>
      <c r="N1119" s="6"/>
      <c r="O1119" s="6">
        <f>HYPERLINK("https://docs.wto.org/imrd/directdoc.asp?DDFDocuments/t/G/TBTN22/BDI285A2.DOCX", "https://docs.wto.org/imrd/directdoc.asp?DDFDocuments/t/G/TBTN22/BDI285A2.DOCX")</f>
      </c>
      <c r="P1119" s="6">
        <f>HYPERLINK("https://docs.wto.org/imrd/directdoc.asp?DDFDocuments/u/G/TBTN22/BDI285A2.DOCX", "https://docs.wto.org/imrd/directdoc.asp?DDFDocuments/u/G/TBTN22/BDI285A2.DOCX")</f>
      </c>
      <c r="Q1119" s="6">
        <f>HYPERLINK("https://docs.wto.org/imrd/directdoc.asp?DDFDocuments/v/G/TBTN22/BDI285A2.DOCX", "https://docs.wto.org/imrd/directdoc.asp?DDFDocuments/v/G/TBTN22/BDI285A2.DOCX")</f>
      </c>
    </row>
    <row r="1120">
      <c r="A1120" s="6" t="s">
        <v>976</v>
      </c>
      <c r="B1120" s="7">
        <v>45588</v>
      </c>
      <c r="C1120" s="9">
        <f>HYPERLINK("https://eping.wto.org/en/Search?viewData= G/TBT/N/ARE/541/Add.1, G/TBT/N/BHR/633/Add.1, G/TBT/N/KWT/599/Add.1, G/TBT/N/OMN/469/Add.1, G/TBT/N/QAT/620/Add.1, G/TBT/N/SAU/1248/Add.1, G/TBT/N/YEM/227/Add.1"," G/TBT/N/ARE/541/Add.1, G/TBT/N/BHR/633/Add.1, G/TBT/N/KWT/599/Add.1, G/TBT/N/OMN/469/Add.1, G/TBT/N/QAT/620/Add.1, G/TBT/N/SAU/1248/Add.1, G/TBT/N/YEM/227/Add.1")</f>
      </c>
      <c r="D1120" s="8" t="s">
        <v>3831</v>
      </c>
      <c r="E1120" s="8" t="s">
        <v>4075</v>
      </c>
      <c r="F1120" s="8" t="s">
        <v>3777</v>
      </c>
      <c r="G1120" s="8" t="s">
        <v>22</v>
      </c>
      <c r="H1120" s="8" t="s">
        <v>358</v>
      </c>
      <c r="I1120" s="8" t="s">
        <v>760</v>
      </c>
      <c r="J1120" s="8" t="s">
        <v>81</v>
      </c>
      <c r="K1120" s="6"/>
      <c r="L1120" s="7" t="s">
        <v>22</v>
      </c>
      <c r="M1120" s="6" t="s">
        <v>40</v>
      </c>
      <c r="N1120" s="8" t="s">
        <v>4076</v>
      </c>
      <c r="O1120" s="6">
        <f>HYPERLINK("https://docs.wto.org/imrd/directdoc.asp?DDFDocuments/t/G/TBTN22/ARE541A1.DOCX", "https://docs.wto.org/imrd/directdoc.asp?DDFDocuments/t/G/TBTN22/ARE541A1.DOCX")</f>
      </c>
      <c r="P1120" s="6">
        <f>HYPERLINK("https://docs.wto.org/imrd/directdoc.asp?DDFDocuments/u/G/TBTN22/ARE541A1.DOCX", "https://docs.wto.org/imrd/directdoc.asp?DDFDocuments/u/G/TBTN22/ARE541A1.DOCX")</f>
      </c>
      <c r="Q1120" s="6">
        <f>HYPERLINK("https://docs.wto.org/imrd/directdoc.asp?DDFDocuments/v/G/TBTN22/ARE541A1.DOCX", "https://docs.wto.org/imrd/directdoc.asp?DDFDocuments/v/G/TBTN22/ARE541A1.DOCX")</f>
      </c>
    </row>
    <row r="1121">
      <c r="A1121" s="6" t="s">
        <v>68</v>
      </c>
      <c r="B1121" s="7">
        <v>45588</v>
      </c>
      <c r="C1121" s="9">
        <f>HYPERLINK("https://eping.wto.org/en/Search?viewData= G/TBT/N/BDI/281/Add.2, G/TBT/N/KEN/1315/Add.2, G/TBT/N/RWA/715/Add.2, G/TBT/N/TZA/834/Add.2, G/TBT/N/UGA/1689/Add.2"," G/TBT/N/BDI/281/Add.2, G/TBT/N/KEN/1315/Add.2, G/TBT/N/RWA/715/Add.2, G/TBT/N/TZA/834/Add.2, G/TBT/N/UGA/1689/Add.2")</f>
      </c>
      <c r="D1121" s="8" t="s">
        <v>4093</v>
      </c>
      <c r="E1121" s="8" t="s">
        <v>4094</v>
      </c>
      <c r="F1121" s="8" t="s">
        <v>4067</v>
      </c>
      <c r="G1121" s="8" t="s">
        <v>22</v>
      </c>
      <c r="H1121" s="8" t="s">
        <v>2063</v>
      </c>
      <c r="I1121" s="8" t="s">
        <v>3102</v>
      </c>
      <c r="J1121" s="8" t="s">
        <v>81</v>
      </c>
      <c r="K1121" s="6"/>
      <c r="L1121" s="7" t="s">
        <v>22</v>
      </c>
      <c r="M1121" s="6" t="s">
        <v>40</v>
      </c>
      <c r="N1121" s="6"/>
      <c r="O1121" s="6">
        <f>HYPERLINK("https://docs.wto.org/imrd/directdoc.asp?DDFDocuments/t/G/TBTN22/BDI281A2.DOCX", "https://docs.wto.org/imrd/directdoc.asp?DDFDocuments/t/G/TBTN22/BDI281A2.DOCX")</f>
      </c>
      <c r="P1121" s="6">
        <f>HYPERLINK("https://docs.wto.org/imrd/directdoc.asp?DDFDocuments/u/G/TBTN22/BDI281A2.DOCX", "https://docs.wto.org/imrd/directdoc.asp?DDFDocuments/u/G/TBTN22/BDI281A2.DOCX")</f>
      </c>
      <c r="Q1121" s="6">
        <f>HYPERLINK("https://docs.wto.org/imrd/directdoc.asp?DDFDocuments/v/G/TBTN22/BDI281A2.DOCX", "https://docs.wto.org/imrd/directdoc.asp?DDFDocuments/v/G/TBTN22/BDI281A2.DOCX")</f>
      </c>
    </row>
    <row r="1122">
      <c r="A1122" s="6" t="s">
        <v>3255</v>
      </c>
      <c r="B1122" s="7">
        <v>45588</v>
      </c>
      <c r="C1122" s="9">
        <f>HYPERLINK("https://eping.wto.org/en/Search?viewData= G/TBT/N/ARE/628, G/TBT/N/BHR/712, G/TBT/N/KWT/692, G/TBT/N/OMN/536, G/TBT/N/QAT/687, G/TBT/N/SAU/1357, G/TBT/N/YEM/293"," G/TBT/N/ARE/628, G/TBT/N/BHR/712, G/TBT/N/KWT/692, G/TBT/N/OMN/536, G/TBT/N/QAT/687, G/TBT/N/SAU/1357, G/TBT/N/YEM/293")</f>
      </c>
      <c r="D1122" s="8" t="s">
        <v>4050</v>
      </c>
      <c r="E1122" s="8" t="s">
        <v>4051</v>
      </c>
      <c r="F1122" s="8" t="s">
        <v>4052</v>
      </c>
      <c r="G1122" s="8" t="s">
        <v>22</v>
      </c>
      <c r="H1122" s="8" t="s">
        <v>4053</v>
      </c>
      <c r="I1122" s="8" t="s">
        <v>2475</v>
      </c>
      <c r="J1122" s="8" t="s">
        <v>22</v>
      </c>
      <c r="K1122" s="6"/>
      <c r="L1122" s="7">
        <v>45648</v>
      </c>
      <c r="M1122" s="6" t="s">
        <v>32</v>
      </c>
      <c r="N1122" s="8" t="s">
        <v>4054</v>
      </c>
      <c r="O1122" s="6">
        <f>HYPERLINK("https://docs.wto.org/imrd/directdoc.asp?DDFDocuments/t/G/TBTN24/ARE628.DOCX", "https://docs.wto.org/imrd/directdoc.asp?DDFDocuments/t/G/TBTN24/ARE628.DOCX")</f>
      </c>
      <c r="P1122" s="6">
        <f>HYPERLINK("https://docs.wto.org/imrd/directdoc.asp?DDFDocuments/u/G/TBTN24/ARE628.DOCX", "https://docs.wto.org/imrd/directdoc.asp?DDFDocuments/u/G/TBTN24/ARE628.DOCX")</f>
      </c>
      <c r="Q1122" s="6">
        <f>HYPERLINK("https://docs.wto.org/imrd/directdoc.asp?DDFDocuments/v/G/TBTN24/ARE628.DOCX", "https://docs.wto.org/imrd/directdoc.asp?DDFDocuments/v/G/TBTN24/ARE628.DOCX")</f>
      </c>
    </row>
    <row r="1123">
      <c r="A1123" s="6" t="s">
        <v>26</v>
      </c>
      <c r="B1123" s="7">
        <v>45588</v>
      </c>
      <c r="C1123" s="9">
        <f>HYPERLINK("https://eping.wto.org/en/Search?viewData= G/TBT/N/BDI/281/Add.2, G/TBT/N/KEN/1315/Add.2, G/TBT/N/RWA/715/Add.2, G/TBT/N/TZA/834/Add.2, G/TBT/N/UGA/1689/Add.2"," G/TBT/N/BDI/281/Add.2, G/TBT/N/KEN/1315/Add.2, G/TBT/N/RWA/715/Add.2, G/TBT/N/TZA/834/Add.2, G/TBT/N/UGA/1689/Add.2")</f>
      </c>
      <c r="D1123" s="8" t="s">
        <v>4093</v>
      </c>
      <c r="E1123" s="8" t="s">
        <v>4094</v>
      </c>
      <c r="F1123" s="8" t="s">
        <v>4067</v>
      </c>
      <c r="G1123" s="8" t="s">
        <v>22</v>
      </c>
      <c r="H1123" s="8" t="s">
        <v>2063</v>
      </c>
      <c r="I1123" s="8" t="s">
        <v>4064</v>
      </c>
      <c r="J1123" s="8" t="s">
        <v>812</v>
      </c>
      <c r="K1123" s="6"/>
      <c r="L1123" s="7" t="s">
        <v>22</v>
      </c>
      <c r="M1123" s="6" t="s">
        <v>40</v>
      </c>
      <c r="N1123" s="6"/>
      <c r="O1123" s="6">
        <f>HYPERLINK("https://docs.wto.org/imrd/directdoc.asp?DDFDocuments/t/G/TBTN22/BDI281A2.DOCX", "https://docs.wto.org/imrd/directdoc.asp?DDFDocuments/t/G/TBTN22/BDI281A2.DOCX")</f>
      </c>
      <c r="P1123" s="6">
        <f>HYPERLINK("https://docs.wto.org/imrd/directdoc.asp?DDFDocuments/u/G/TBTN22/BDI281A2.DOCX", "https://docs.wto.org/imrd/directdoc.asp?DDFDocuments/u/G/TBTN22/BDI281A2.DOCX")</f>
      </c>
      <c r="Q1123" s="6">
        <f>HYPERLINK("https://docs.wto.org/imrd/directdoc.asp?DDFDocuments/v/G/TBTN22/BDI281A2.DOCX", "https://docs.wto.org/imrd/directdoc.asp?DDFDocuments/v/G/TBTN22/BDI281A2.DOCX")</f>
      </c>
    </row>
    <row r="1124">
      <c r="A1124" s="6" t="s">
        <v>49</v>
      </c>
      <c r="B1124" s="7">
        <v>45588</v>
      </c>
      <c r="C1124" s="9">
        <f>HYPERLINK("https://eping.wto.org/en/Search?viewData= G/TBT/N/BDI/285/Add.2, G/TBT/N/KEN/1319/Add.2, G/TBT/N/RWA/719/Add.2, G/TBT/N/TZA/838/Add.2, G/TBT/N/UGA/1693/Add.2"," G/TBT/N/BDI/285/Add.2, G/TBT/N/KEN/1319/Add.2, G/TBT/N/RWA/719/Add.2, G/TBT/N/TZA/838/Add.2, G/TBT/N/UGA/1693/Add.2")</f>
      </c>
      <c r="D1124" s="8" t="s">
        <v>4095</v>
      </c>
      <c r="E1124" s="8" t="s">
        <v>4096</v>
      </c>
      <c r="F1124" s="8" t="s">
        <v>4067</v>
      </c>
      <c r="G1124" s="8" t="s">
        <v>22</v>
      </c>
      <c r="H1124" s="8" t="s">
        <v>2063</v>
      </c>
      <c r="I1124" s="8" t="s">
        <v>4064</v>
      </c>
      <c r="J1124" s="8" t="s">
        <v>812</v>
      </c>
      <c r="K1124" s="6"/>
      <c r="L1124" s="7" t="s">
        <v>22</v>
      </c>
      <c r="M1124" s="6" t="s">
        <v>40</v>
      </c>
      <c r="N1124" s="6"/>
      <c r="O1124" s="6">
        <f>HYPERLINK("https://docs.wto.org/imrd/directdoc.asp?DDFDocuments/t/G/TBTN22/BDI285A2.DOCX", "https://docs.wto.org/imrd/directdoc.asp?DDFDocuments/t/G/TBTN22/BDI285A2.DOCX")</f>
      </c>
      <c r="P1124" s="6">
        <f>HYPERLINK("https://docs.wto.org/imrd/directdoc.asp?DDFDocuments/u/G/TBTN22/BDI285A2.DOCX", "https://docs.wto.org/imrd/directdoc.asp?DDFDocuments/u/G/TBTN22/BDI285A2.DOCX")</f>
      </c>
      <c r="Q1124" s="6">
        <f>HYPERLINK("https://docs.wto.org/imrd/directdoc.asp?DDFDocuments/v/G/TBTN22/BDI285A2.DOCX", "https://docs.wto.org/imrd/directdoc.asp?DDFDocuments/v/G/TBTN22/BDI285A2.DOCX")</f>
      </c>
    </row>
    <row r="1125">
      <c r="A1125" s="6" t="s">
        <v>60</v>
      </c>
      <c r="B1125" s="7">
        <v>45588</v>
      </c>
      <c r="C1125" s="9">
        <f>HYPERLINK("https://eping.wto.org/en/Search?viewData= G/TBT/N/BDI/284/Add.1, G/TBT/N/KEN/1318/Add.1, G/TBT/N/RWA/718/Add.1, G/TBT/N/TZA/837/Add.1, G/TBT/N/UGA/1692/Add.1"," G/TBT/N/BDI/284/Add.1, G/TBT/N/KEN/1318/Add.1, G/TBT/N/RWA/718/Add.1, G/TBT/N/TZA/837/Add.1, G/TBT/N/UGA/1692/Add.1")</f>
      </c>
      <c r="D1125" s="8" t="s">
        <v>4065</v>
      </c>
      <c r="E1125" s="8" t="s">
        <v>4066</v>
      </c>
      <c r="F1125" s="8" t="s">
        <v>4067</v>
      </c>
      <c r="G1125" s="8" t="s">
        <v>22</v>
      </c>
      <c r="H1125" s="8" t="s">
        <v>2063</v>
      </c>
      <c r="I1125" s="8" t="s">
        <v>4064</v>
      </c>
      <c r="J1125" s="8" t="s">
        <v>812</v>
      </c>
      <c r="K1125" s="6"/>
      <c r="L1125" s="7" t="s">
        <v>22</v>
      </c>
      <c r="M1125" s="6" t="s">
        <v>40</v>
      </c>
      <c r="N1125" s="6"/>
      <c r="O1125" s="6">
        <f>HYPERLINK("https://docs.wto.org/imrd/directdoc.asp?DDFDocuments/t/G/TBTN22/BDI284A1.DOCX", "https://docs.wto.org/imrd/directdoc.asp?DDFDocuments/t/G/TBTN22/BDI284A1.DOCX")</f>
      </c>
      <c r="P1125" s="6">
        <f>HYPERLINK("https://docs.wto.org/imrd/directdoc.asp?DDFDocuments/u/G/TBTN22/BDI284A1.DOCX", "https://docs.wto.org/imrd/directdoc.asp?DDFDocuments/u/G/TBTN22/BDI284A1.DOCX")</f>
      </c>
      <c r="Q1125" s="6">
        <f>HYPERLINK("https://docs.wto.org/imrd/directdoc.asp?DDFDocuments/v/G/TBTN22/BDI284A1.DOCX", "https://docs.wto.org/imrd/directdoc.asp?DDFDocuments/v/G/TBTN22/BDI284A1.DOCX")</f>
      </c>
    </row>
    <row r="1126">
      <c r="A1126" s="6" t="s">
        <v>53</v>
      </c>
      <c r="B1126" s="7">
        <v>45588</v>
      </c>
      <c r="C1126" s="9">
        <f>HYPERLINK("https://eping.wto.org/en/Search?viewData= G/TBT/N/BDI/284/Add.1, G/TBT/N/KEN/1318/Add.1, G/TBT/N/RWA/718/Add.1, G/TBT/N/TZA/837/Add.1, G/TBT/N/UGA/1692/Add.1"," G/TBT/N/BDI/284/Add.1, G/TBT/N/KEN/1318/Add.1, G/TBT/N/RWA/718/Add.1, G/TBT/N/TZA/837/Add.1, G/TBT/N/UGA/1692/Add.1")</f>
      </c>
      <c r="D1126" s="8" t="s">
        <v>4065</v>
      </c>
      <c r="E1126" s="8" t="s">
        <v>4066</v>
      </c>
      <c r="F1126" s="8" t="s">
        <v>4067</v>
      </c>
      <c r="G1126" s="8" t="s">
        <v>22</v>
      </c>
      <c r="H1126" s="8" t="s">
        <v>2063</v>
      </c>
      <c r="I1126" s="8" t="s">
        <v>4064</v>
      </c>
      <c r="J1126" s="8" t="s">
        <v>812</v>
      </c>
      <c r="K1126" s="6"/>
      <c r="L1126" s="7" t="s">
        <v>22</v>
      </c>
      <c r="M1126" s="6" t="s">
        <v>40</v>
      </c>
      <c r="N1126" s="6"/>
      <c r="O1126" s="6">
        <f>HYPERLINK("https://docs.wto.org/imrd/directdoc.asp?DDFDocuments/t/G/TBTN22/BDI284A1.DOCX", "https://docs.wto.org/imrd/directdoc.asp?DDFDocuments/t/G/TBTN22/BDI284A1.DOCX")</f>
      </c>
      <c r="P1126" s="6">
        <f>HYPERLINK("https://docs.wto.org/imrd/directdoc.asp?DDFDocuments/u/G/TBTN22/BDI284A1.DOCX", "https://docs.wto.org/imrd/directdoc.asp?DDFDocuments/u/G/TBTN22/BDI284A1.DOCX")</f>
      </c>
      <c r="Q1126" s="6">
        <f>HYPERLINK("https://docs.wto.org/imrd/directdoc.asp?DDFDocuments/v/G/TBTN22/BDI284A1.DOCX", "https://docs.wto.org/imrd/directdoc.asp?DDFDocuments/v/G/TBTN22/BDI284A1.DOCX")</f>
      </c>
    </row>
    <row r="1127">
      <c r="A1127" s="6" t="s">
        <v>26</v>
      </c>
      <c r="B1127" s="7">
        <v>45588</v>
      </c>
      <c r="C1127" s="9">
        <f>HYPERLINK("https://eping.wto.org/en/Search?viewData= G/TBT/N/BDI/282/Add.2, G/TBT/N/KEN/1316/Add.2, G/TBT/N/RWA/716/Add.2, G/TBT/N/TZA/835/Add.2, G/TBT/N/UGA/1690/Add.2"," G/TBT/N/BDI/282/Add.2, G/TBT/N/KEN/1316/Add.2, G/TBT/N/RWA/716/Add.2, G/TBT/N/TZA/835/Add.2, G/TBT/N/UGA/1690/Add.2")</f>
      </c>
      <c r="D1127" s="8" t="s">
        <v>4068</v>
      </c>
      <c r="E1127" s="8" t="s">
        <v>4069</v>
      </c>
      <c r="F1127" s="8" t="s">
        <v>4067</v>
      </c>
      <c r="G1127" s="8" t="s">
        <v>22</v>
      </c>
      <c r="H1127" s="8" t="s">
        <v>2063</v>
      </c>
      <c r="I1127" s="8" t="s">
        <v>4064</v>
      </c>
      <c r="J1127" s="8" t="s">
        <v>812</v>
      </c>
      <c r="K1127" s="6"/>
      <c r="L1127" s="7" t="s">
        <v>22</v>
      </c>
      <c r="M1127" s="6" t="s">
        <v>40</v>
      </c>
      <c r="N1127" s="6"/>
      <c r="O1127" s="6">
        <f>HYPERLINK("https://docs.wto.org/imrd/directdoc.asp?DDFDocuments/t/G/TBTN22/BDI282A2.DOCX", "https://docs.wto.org/imrd/directdoc.asp?DDFDocuments/t/G/TBTN22/BDI282A2.DOCX")</f>
      </c>
      <c r="P1127" s="6">
        <f>HYPERLINK("https://docs.wto.org/imrd/directdoc.asp?DDFDocuments/u/G/TBTN22/BDI282A2.DOCX", "https://docs.wto.org/imrd/directdoc.asp?DDFDocuments/u/G/TBTN22/BDI282A2.DOCX")</f>
      </c>
      <c r="Q1127" s="6">
        <f>HYPERLINK("https://docs.wto.org/imrd/directdoc.asp?DDFDocuments/v/G/TBTN22/BDI282A2.DOCX", "https://docs.wto.org/imrd/directdoc.asp?DDFDocuments/v/G/TBTN22/BDI282A2.DOCX")</f>
      </c>
    </row>
    <row r="1128">
      <c r="A1128" s="6" t="s">
        <v>1982</v>
      </c>
      <c r="B1128" s="7">
        <v>45588</v>
      </c>
      <c r="C1128" s="9">
        <f>HYPERLINK("https://eping.wto.org/en/Search?viewData= G/TBT/N/ARE/541/Add.1, G/TBT/N/BHR/633/Add.1, G/TBT/N/KWT/599/Add.1, G/TBT/N/OMN/469/Add.1, G/TBT/N/QAT/620/Add.1, G/TBT/N/SAU/1248/Add.1, G/TBT/N/YEM/227/Add.1"," G/TBT/N/ARE/541/Add.1, G/TBT/N/BHR/633/Add.1, G/TBT/N/KWT/599/Add.1, G/TBT/N/OMN/469/Add.1, G/TBT/N/QAT/620/Add.1, G/TBT/N/SAU/1248/Add.1, G/TBT/N/YEM/227/Add.1")</f>
      </c>
      <c r="D1128" s="8" t="s">
        <v>3831</v>
      </c>
      <c r="E1128" s="8" t="s">
        <v>4075</v>
      </c>
      <c r="F1128" s="8" t="s">
        <v>3777</v>
      </c>
      <c r="G1128" s="8" t="s">
        <v>22</v>
      </c>
      <c r="H1128" s="8" t="s">
        <v>358</v>
      </c>
      <c r="I1128" s="8" t="s">
        <v>760</v>
      </c>
      <c r="J1128" s="8" t="s">
        <v>81</v>
      </c>
      <c r="K1128" s="6"/>
      <c r="L1128" s="7" t="s">
        <v>22</v>
      </c>
      <c r="M1128" s="6" t="s">
        <v>40</v>
      </c>
      <c r="N1128" s="8" t="s">
        <v>4076</v>
      </c>
      <c r="O1128" s="6">
        <f>HYPERLINK("https://docs.wto.org/imrd/directdoc.asp?DDFDocuments/t/G/TBTN22/ARE541A1.DOCX", "https://docs.wto.org/imrd/directdoc.asp?DDFDocuments/t/G/TBTN22/ARE541A1.DOCX")</f>
      </c>
      <c r="P1128" s="6">
        <f>HYPERLINK("https://docs.wto.org/imrd/directdoc.asp?DDFDocuments/u/G/TBTN22/ARE541A1.DOCX", "https://docs.wto.org/imrd/directdoc.asp?DDFDocuments/u/G/TBTN22/ARE541A1.DOCX")</f>
      </c>
      <c r="Q1128" s="6">
        <f>HYPERLINK("https://docs.wto.org/imrd/directdoc.asp?DDFDocuments/v/G/TBTN22/ARE541A1.DOCX", "https://docs.wto.org/imrd/directdoc.asp?DDFDocuments/v/G/TBTN22/ARE541A1.DOCX")</f>
      </c>
    </row>
    <row r="1129">
      <c r="A1129" s="6" t="s">
        <v>400</v>
      </c>
      <c r="B1129" s="7">
        <v>45588</v>
      </c>
      <c r="C1129" s="9">
        <f>HYPERLINK("https://eping.wto.org/en/Search?viewData= G/TBT/N/USA/2123/Add.3"," G/TBT/N/USA/2123/Add.3")</f>
      </c>
      <c r="D1129" s="8" t="s">
        <v>4097</v>
      </c>
      <c r="E1129" s="8" t="s">
        <v>4098</v>
      </c>
      <c r="F1129" s="8" t="s">
        <v>4099</v>
      </c>
      <c r="G1129" s="8" t="s">
        <v>22</v>
      </c>
      <c r="H1129" s="8" t="s">
        <v>4100</v>
      </c>
      <c r="I1129" s="8" t="s">
        <v>619</v>
      </c>
      <c r="J1129" s="8" t="s">
        <v>22</v>
      </c>
      <c r="K1129" s="6"/>
      <c r="L1129" s="7" t="s">
        <v>22</v>
      </c>
      <c r="M1129" s="6" t="s">
        <v>40</v>
      </c>
      <c r="N1129" s="6"/>
      <c r="O1129" s="6">
        <f>HYPERLINK("https://docs.wto.org/imrd/directdoc.asp?DDFDocuments/t/G/TBTN24/USA2123A3.DOCX", "https://docs.wto.org/imrd/directdoc.asp?DDFDocuments/t/G/TBTN24/USA2123A3.DOCX")</f>
      </c>
      <c r="P1129" s="6">
        <f>HYPERLINK("https://docs.wto.org/imrd/directdoc.asp?DDFDocuments/u/G/TBTN24/USA2123A3.DOCX", "https://docs.wto.org/imrd/directdoc.asp?DDFDocuments/u/G/TBTN24/USA2123A3.DOCX")</f>
      </c>
      <c r="Q1129" s="6">
        <f>HYPERLINK("https://docs.wto.org/imrd/directdoc.asp?DDFDocuments/v/G/TBTN24/USA2123A3.DOCX", "https://docs.wto.org/imrd/directdoc.asp?DDFDocuments/v/G/TBTN24/USA2123A3.DOCX")</f>
      </c>
    </row>
    <row r="1130">
      <c r="A1130" s="6" t="s">
        <v>68</v>
      </c>
      <c r="B1130" s="7">
        <v>45588</v>
      </c>
      <c r="C1130" s="9">
        <f>HYPERLINK("https://eping.wto.org/en/Search?viewData= G/TBT/N/BDI/308/Add.2, G/TBT/N/KEN/1354/Add.2, G/TBT/N/RWA/749/Add.2, G/TBT/N/TZA/872/Add.2, G/TBT/N/UGA/1719/Add.2"," G/TBT/N/BDI/308/Add.2, G/TBT/N/KEN/1354/Add.2, G/TBT/N/RWA/749/Add.2, G/TBT/N/TZA/872/Add.2, G/TBT/N/UGA/1719/Add.2")</f>
      </c>
      <c r="D1130" s="8" t="s">
        <v>2083</v>
      </c>
      <c r="E1130" s="8" t="s">
        <v>4101</v>
      </c>
      <c r="F1130" s="8" t="s">
        <v>2085</v>
      </c>
      <c r="G1130" s="8" t="s">
        <v>2086</v>
      </c>
      <c r="H1130" s="8" t="s">
        <v>79</v>
      </c>
      <c r="I1130" s="8" t="s">
        <v>1805</v>
      </c>
      <c r="J1130" s="8" t="s">
        <v>81</v>
      </c>
      <c r="K1130" s="6"/>
      <c r="L1130" s="7" t="s">
        <v>22</v>
      </c>
      <c r="M1130" s="6" t="s">
        <v>40</v>
      </c>
      <c r="N1130" s="6"/>
      <c r="O1130" s="6">
        <f>HYPERLINK("https://docs.wto.org/imrd/directdoc.asp?DDFDocuments/t/G/TBTN22/BDI308A2.DOCX", "https://docs.wto.org/imrd/directdoc.asp?DDFDocuments/t/G/TBTN22/BDI308A2.DOCX")</f>
      </c>
      <c r="P1130" s="6">
        <f>HYPERLINK("https://docs.wto.org/imrd/directdoc.asp?DDFDocuments/u/G/TBTN22/BDI308A2.DOCX", "https://docs.wto.org/imrd/directdoc.asp?DDFDocuments/u/G/TBTN22/BDI308A2.DOCX")</f>
      </c>
      <c r="Q1130" s="6">
        <f>HYPERLINK("https://docs.wto.org/imrd/directdoc.asp?DDFDocuments/v/G/TBTN22/BDI308A2.DOCX", "https://docs.wto.org/imrd/directdoc.asp?DDFDocuments/v/G/TBTN22/BDI308A2.DOCX")</f>
      </c>
    </row>
    <row r="1131">
      <c r="A1131" s="6" t="s">
        <v>60</v>
      </c>
      <c r="B1131" s="7">
        <v>45588</v>
      </c>
      <c r="C1131" s="9">
        <f>HYPERLINK("https://eping.wto.org/en/Search?viewData= G/TBT/N/BDI/281/Add.2, G/TBT/N/KEN/1315/Add.2, G/TBT/N/RWA/715/Add.2, G/TBT/N/TZA/834/Add.2, G/TBT/N/UGA/1689/Add.2"," G/TBT/N/BDI/281/Add.2, G/TBT/N/KEN/1315/Add.2, G/TBT/N/RWA/715/Add.2, G/TBT/N/TZA/834/Add.2, G/TBT/N/UGA/1689/Add.2")</f>
      </c>
      <c r="D1131" s="8" t="s">
        <v>4093</v>
      </c>
      <c r="E1131" s="8" t="s">
        <v>4094</v>
      </c>
      <c r="F1131" s="8" t="s">
        <v>4067</v>
      </c>
      <c r="G1131" s="8" t="s">
        <v>22</v>
      </c>
      <c r="H1131" s="8" t="s">
        <v>2063</v>
      </c>
      <c r="I1131" s="8" t="s">
        <v>4064</v>
      </c>
      <c r="J1131" s="8" t="s">
        <v>812</v>
      </c>
      <c r="K1131" s="6"/>
      <c r="L1131" s="7" t="s">
        <v>22</v>
      </c>
      <c r="M1131" s="6" t="s">
        <v>40</v>
      </c>
      <c r="N1131" s="6"/>
      <c r="O1131" s="6">
        <f>HYPERLINK("https://docs.wto.org/imrd/directdoc.asp?DDFDocuments/t/G/TBTN22/BDI281A2.DOCX", "https://docs.wto.org/imrd/directdoc.asp?DDFDocuments/t/G/TBTN22/BDI281A2.DOCX")</f>
      </c>
      <c r="P1131" s="6">
        <f>HYPERLINK("https://docs.wto.org/imrd/directdoc.asp?DDFDocuments/u/G/TBTN22/BDI281A2.DOCX", "https://docs.wto.org/imrd/directdoc.asp?DDFDocuments/u/G/TBTN22/BDI281A2.DOCX")</f>
      </c>
      <c r="Q1131" s="6">
        <f>HYPERLINK("https://docs.wto.org/imrd/directdoc.asp?DDFDocuments/v/G/TBTN22/BDI281A2.DOCX", "https://docs.wto.org/imrd/directdoc.asp?DDFDocuments/v/G/TBTN22/BDI281A2.DOCX")</f>
      </c>
    </row>
    <row r="1132">
      <c r="A1132" s="6" t="s">
        <v>26</v>
      </c>
      <c r="B1132" s="7">
        <v>45588</v>
      </c>
      <c r="C1132" s="9">
        <f>HYPERLINK("https://eping.wto.org/en/Search?viewData= G/TBT/N/BDI/250/Add.1, G/TBT/N/KEN/1271/Add.1, G/TBT/N/RWA/680/Add.1, G/TBT/N/TZA/804/Add.1, G/TBT/N/UGA/1652/Add.1"," G/TBT/N/BDI/250/Add.1, G/TBT/N/KEN/1271/Add.1, G/TBT/N/RWA/680/Add.1, G/TBT/N/TZA/804/Add.1, G/TBT/N/UGA/1652/Add.1")</f>
      </c>
      <c r="D1132" s="8" t="s">
        <v>4061</v>
      </c>
      <c r="E1132" s="8" t="s">
        <v>4062</v>
      </c>
      <c r="F1132" s="8" t="s">
        <v>4063</v>
      </c>
      <c r="G1132" s="8" t="s">
        <v>2062</v>
      </c>
      <c r="H1132" s="8" t="s">
        <v>2063</v>
      </c>
      <c r="I1132" s="8" t="s">
        <v>4064</v>
      </c>
      <c r="J1132" s="8" t="s">
        <v>812</v>
      </c>
      <c r="K1132" s="6"/>
      <c r="L1132" s="7" t="s">
        <v>22</v>
      </c>
      <c r="M1132" s="6" t="s">
        <v>40</v>
      </c>
      <c r="N1132" s="6"/>
      <c r="O1132" s="6">
        <f>HYPERLINK("https://docs.wto.org/imrd/directdoc.asp?DDFDocuments/t/G/TBTN22/BDI250A1.DOCX", "https://docs.wto.org/imrd/directdoc.asp?DDFDocuments/t/G/TBTN22/BDI250A1.DOCX")</f>
      </c>
      <c r="P1132" s="6">
        <f>HYPERLINK("https://docs.wto.org/imrd/directdoc.asp?DDFDocuments/u/G/TBTN22/BDI250A1.DOCX", "https://docs.wto.org/imrd/directdoc.asp?DDFDocuments/u/G/TBTN22/BDI250A1.DOCX")</f>
      </c>
      <c r="Q1132" s="6">
        <f>HYPERLINK("https://docs.wto.org/imrd/directdoc.asp?DDFDocuments/v/G/TBTN22/BDI250A1.DOCX", "https://docs.wto.org/imrd/directdoc.asp?DDFDocuments/v/G/TBTN22/BDI250A1.DOCX")</f>
      </c>
    </row>
    <row r="1133">
      <c r="A1133" s="6" t="s">
        <v>26</v>
      </c>
      <c r="B1133" s="7">
        <v>45588</v>
      </c>
      <c r="C1133" s="9">
        <f>HYPERLINK("https://eping.wto.org/en/Search?viewData= G/TBT/N/BDI/285/Add.2, G/TBT/N/KEN/1319/Add.2, G/TBT/N/RWA/719/Add.2, G/TBT/N/TZA/838/Add.2, G/TBT/N/UGA/1693/Add.2"," G/TBT/N/BDI/285/Add.2, G/TBT/N/KEN/1319/Add.2, G/TBT/N/RWA/719/Add.2, G/TBT/N/TZA/838/Add.2, G/TBT/N/UGA/1693/Add.2")</f>
      </c>
      <c r="D1133" s="8" t="s">
        <v>4095</v>
      </c>
      <c r="E1133" s="8" t="s">
        <v>4096</v>
      </c>
      <c r="F1133" s="8" t="s">
        <v>4067</v>
      </c>
      <c r="G1133" s="8" t="s">
        <v>22</v>
      </c>
      <c r="H1133" s="8" t="s">
        <v>2063</v>
      </c>
      <c r="I1133" s="8" t="s">
        <v>4064</v>
      </c>
      <c r="J1133" s="8" t="s">
        <v>812</v>
      </c>
      <c r="K1133" s="6"/>
      <c r="L1133" s="7" t="s">
        <v>22</v>
      </c>
      <c r="M1133" s="6" t="s">
        <v>40</v>
      </c>
      <c r="N1133" s="6"/>
      <c r="O1133" s="6">
        <f>HYPERLINK("https://docs.wto.org/imrd/directdoc.asp?DDFDocuments/t/G/TBTN22/BDI285A2.DOCX", "https://docs.wto.org/imrd/directdoc.asp?DDFDocuments/t/G/TBTN22/BDI285A2.DOCX")</f>
      </c>
      <c r="P1133" s="6">
        <f>HYPERLINK("https://docs.wto.org/imrd/directdoc.asp?DDFDocuments/u/G/TBTN22/BDI285A2.DOCX", "https://docs.wto.org/imrd/directdoc.asp?DDFDocuments/u/G/TBTN22/BDI285A2.DOCX")</f>
      </c>
      <c r="Q1133" s="6">
        <f>HYPERLINK("https://docs.wto.org/imrd/directdoc.asp?DDFDocuments/v/G/TBTN22/BDI285A2.DOCX", "https://docs.wto.org/imrd/directdoc.asp?DDFDocuments/v/G/TBTN22/BDI285A2.DOCX")</f>
      </c>
    </row>
    <row r="1134">
      <c r="A1134" s="6" t="s">
        <v>53</v>
      </c>
      <c r="B1134" s="7">
        <v>45588</v>
      </c>
      <c r="C1134" s="9">
        <f>HYPERLINK("https://eping.wto.org/en/Search?viewData= G/TBT/N/BDI/283/Add.2, G/TBT/N/KEN/1317/Add.2, G/TBT/N/RWA/717/Add.2, G/TBT/N/TZA/836/Add.2, G/TBT/N/UGA/1691/Add.2"," G/TBT/N/BDI/283/Add.2, G/TBT/N/KEN/1317/Add.2, G/TBT/N/RWA/717/Add.2, G/TBT/N/TZA/836/Add.2, G/TBT/N/UGA/1691/Add.2")</f>
      </c>
      <c r="D1134" s="8" t="s">
        <v>4088</v>
      </c>
      <c r="E1134" s="8" t="s">
        <v>4089</v>
      </c>
      <c r="F1134" s="8" t="s">
        <v>4067</v>
      </c>
      <c r="G1134" s="8" t="s">
        <v>22</v>
      </c>
      <c r="H1134" s="8" t="s">
        <v>2063</v>
      </c>
      <c r="I1134" s="8" t="s">
        <v>4064</v>
      </c>
      <c r="J1134" s="8" t="s">
        <v>812</v>
      </c>
      <c r="K1134" s="6"/>
      <c r="L1134" s="7" t="s">
        <v>22</v>
      </c>
      <c r="M1134" s="6" t="s">
        <v>40</v>
      </c>
      <c r="N1134" s="6"/>
      <c r="O1134" s="6">
        <f>HYPERLINK("https://docs.wto.org/imrd/directdoc.asp?DDFDocuments/t/G/TBTN22/BDI283A2.DOCX", "https://docs.wto.org/imrd/directdoc.asp?DDFDocuments/t/G/TBTN22/BDI283A2.DOCX")</f>
      </c>
      <c r="P1134" s="6">
        <f>HYPERLINK("https://docs.wto.org/imrd/directdoc.asp?DDFDocuments/u/G/TBTN22/BDI283A2.DOCX", "https://docs.wto.org/imrd/directdoc.asp?DDFDocuments/u/G/TBTN22/BDI283A2.DOCX")</f>
      </c>
      <c r="Q1134" s="6">
        <f>HYPERLINK("https://docs.wto.org/imrd/directdoc.asp?DDFDocuments/v/G/TBTN22/BDI283A2.DOCX", "https://docs.wto.org/imrd/directdoc.asp?DDFDocuments/v/G/TBTN22/BDI283A2.DOCX")</f>
      </c>
    </row>
    <row r="1135">
      <c r="A1135" s="6" t="s">
        <v>53</v>
      </c>
      <c r="B1135" s="7">
        <v>45588</v>
      </c>
      <c r="C1135" s="9">
        <f>HYPERLINK("https://eping.wto.org/en/Search?viewData= G/TBT/N/BDI/282/Add.2, G/TBT/N/KEN/1316/Add.2, G/TBT/N/RWA/716/Add.2, G/TBT/N/TZA/835/Add.2, G/TBT/N/UGA/1690/Add.2"," G/TBT/N/BDI/282/Add.2, G/TBT/N/KEN/1316/Add.2, G/TBT/N/RWA/716/Add.2, G/TBT/N/TZA/835/Add.2, G/TBT/N/UGA/1690/Add.2")</f>
      </c>
      <c r="D1135" s="8" t="s">
        <v>4068</v>
      </c>
      <c r="E1135" s="8" t="s">
        <v>4069</v>
      </c>
      <c r="F1135" s="8" t="s">
        <v>4067</v>
      </c>
      <c r="G1135" s="8" t="s">
        <v>22</v>
      </c>
      <c r="H1135" s="8" t="s">
        <v>2063</v>
      </c>
      <c r="I1135" s="8" t="s">
        <v>4064</v>
      </c>
      <c r="J1135" s="8" t="s">
        <v>812</v>
      </c>
      <c r="K1135" s="6"/>
      <c r="L1135" s="7" t="s">
        <v>22</v>
      </c>
      <c r="M1135" s="6" t="s">
        <v>40</v>
      </c>
      <c r="N1135" s="6"/>
      <c r="O1135" s="6">
        <f>HYPERLINK("https://docs.wto.org/imrd/directdoc.asp?DDFDocuments/t/G/TBTN22/BDI282A2.DOCX", "https://docs.wto.org/imrd/directdoc.asp?DDFDocuments/t/G/TBTN22/BDI282A2.DOCX")</f>
      </c>
      <c r="P1135" s="6">
        <f>HYPERLINK("https://docs.wto.org/imrd/directdoc.asp?DDFDocuments/u/G/TBTN22/BDI282A2.DOCX", "https://docs.wto.org/imrd/directdoc.asp?DDFDocuments/u/G/TBTN22/BDI282A2.DOCX")</f>
      </c>
      <c r="Q1135" s="6">
        <f>HYPERLINK("https://docs.wto.org/imrd/directdoc.asp?DDFDocuments/v/G/TBTN22/BDI282A2.DOCX", "https://docs.wto.org/imrd/directdoc.asp?DDFDocuments/v/G/TBTN22/BDI282A2.DOCX")</f>
      </c>
    </row>
    <row r="1136">
      <c r="A1136" s="6" t="s">
        <v>68</v>
      </c>
      <c r="B1136" s="7">
        <v>45588</v>
      </c>
      <c r="C1136" s="9">
        <f>HYPERLINK("https://eping.wto.org/en/Search?viewData= G/TBT/N/BDI/287/Add.2, G/TBT/N/KEN/1321/Add.2, G/TBT/N/RWA/721/Add.2, G/TBT/N/TZA/840/Add.2, G/TBT/N/UGA/1695/Add.2"," G/TBT/N/BDI/287/Add.2, G/TBT/N/KEN/1321/Add.2, G/TBT/N/RWA/721/Add.2, G/TBT/N/TZA/840/Add.2, G/TBT/N/UGA/1695/Add.2")</f>
      </c>
      <c r="D1136" s="8" t="s">
        <v>2103</v>
      </c>
      <c r="E1136" s="8" t="s">
        <v>4070</v>
      </c>
      <c r="F1136" s="8" t="s">
        <v>2105</v>
      </c>
      <c r="G1136" s="8" t="s">
        <v>2106</v>
      </c>
      <c r="H1136" s="8" t="s">
        <v>2107</v>
      </c>
      <c r="I1136" s="8" t="s">
        <v>2162</v>
      </c>
      <c r="J1136" s="8" t="s">
        <v>81</v>
      </c>
      <c r="K1136" s="6"/>
      <c r="L1136" s="7" t="s">
        <v>22</v>
      </c>
      <c r="M1136" s="6" t="s">
        <v>40</v>
      </c>
      <c r="N1136" s="6"/>
      <c r="O1136" s="6">
        <f>HYPERLINK("https://docs.wto.org/imrd/directdoc.asp?DDFDocuments/t/G/TBTN22/BDI287A2.DOCX", "https://docs.wto.org/imrd/directdoc.asp?DDFDocuments/t/G/TBTN22/BDI287A2.DOCX")</f>
      </c>
      <c r="P1136" s="6">
        <f>HYPERLINK("https://docs.wto.org/imrd/directdoc.asp?DDFDocuments/u/G/TBTN22/BDI287A2.DOCX", "https://docs.wto.org/imrd/directdoc.asp?DDFDocuments/u/G/TBTN22/BDI287A2.DOCX")</f>
      </c>
      <c r="Q1136" s="6">
        <f>HYPERLINK("https://docs.wto.org/imrd/directdoc.asp?DDFDocuments/v/G/TBTN22/BDI287A2.DOCX", "https://docs.wto.org/imrd/directdoc.asp?DDFDocuments/v/G/TBTN22/BDI287A2.DOCX")</f>
      </c>
    </row>
    <row r="1137">
      <c r="A1137" s="6" t="s">
        <v>3271</v>
      </c>
      <c r="B1137" s="7">
        <v>45588</v>
      </c>
      <c r="C1137" s="9">
        <f>HYPERLINK("https://eping.wto.org/en/Search?viewData= G/TBT/N/ARE/631, G/TBT/N/BHR/715, G/TBT/N/KWT/695, G/TBT/N/OMN/539, G/TBT/N/QAT/690, G/TBT/N/SAU/1360, G/TBT/N/YEM/296"," G/TBT/N/ARE/631, G/TBT/N/BHR/715, G/TBT/N/KWT/695, G/TBT/N/OMN/539, G/TBT/N/QAT/690, G/TBT/N/SAU/1360, G/TBT/N/YEM/296")</f>
      </c>
      <c r="D1137" s="8" t="s">
        <v>4077</v>
      </c>
      <c r="E1137" s="8" t="s">
        <v>4078</v>
      </c>
      <c r="F1137" s="8" t="s">
        <v>3777</v>
      </c>
      <c r="G1137" s="8" t="s">
        <v>22</v>
      </c>
      <c r="H1137" s="8" t="s">
        <v>115</v>
      </c>
      <c r="I1137" s="8" t="s">
        <v>760</v>
      </c>
      <c r="J1137" s="8" t="s">
        <v>58</v>
      </c>
      <c r="K1137" s="6"/>
      <c r="L1137" s="7">
        <v>45648</v>
      </c>
      <c r="M1137" s="6" t="s">
        <v>32</v>
      </c>
      <c r="N1137" s="8" t="s">
        <v>4079</v>
      </c>
      <c r="O1137" s="6">
        <f>HYPERLINK("https://docs.wto.org/imrd/directdoc.asp?DDFDocuments/t/G/TBTN24/ARE631.DOCX", "https://docs.wto.org/imrd/directdoc.asp?DDFDocuments/t/G/TBTN24/ARE631.DOCX")</f>
      </c>
      <c r="P1137" s="6">
        <f>HYPERLINK("https://docs.wto.org/imrd/directdoc.asp?DDFDocuments/u/G/TBTN24/ARE631.DOCX", "https://docs.wto.org/imrd/directdoc.asp?DDFDocuments/u/G/TBTN24/ARE631.DOCX")</f>
      </c>
      <c r="Q1137" s="6">
        <f>HYPERLINK("https://docs.wto.org/imrd/directdoc.asp?DDFDocuments/v/G/TBTN24/ARE631.DOCX", "https://docs.wto.org/imrd/directdoc.asp?DDFDocuments/v/G/TBTN24/ARE631.DOCX")</f>
      </c>
    </row>
    <row r="1138">
      <c r="A1138" s="6" t="s">
        <v>976</v>
      </c>
      <c r="B1138" s="7">
        <v>45588</v>
      </c>
      <c r="C1138" s="9">
        <f>HYPERLINK("https://eping.wto.org/en/Search?viewData= G/TBT/N/ARE/630, G/TBT/N/BHR/714, G/TBT/N/KWT/694, G/TBT/N/OMN/538, G/TBT/N/QAT/689, G/TBT/N/SAU/1359, G/TBT/N/YEM/295"," G/TBT/N/ARE/630, G/TBT/N/BHR/714, G/TBT/N/KWT/694, G/TBT/N/OMN/538, G/TBT/N/QAT/689, G/TBT/N/SAU/1359, G/TBT/N/YEM/295")</f>
      </c>
      <c r="D1138" s="8" t="s">
        <v>4043</v>
      </c>
      <c r="E1138" s="8" t="s">
        <v>4044</v>
      </c>
      <c r="F1138" s="8" t="s">
        <v>3777</v>
      </c>
      <c r="G1138" s="8" t="s">
        <v>22</v>
      </c>
      <c r="H1138" s="8" t="s">
        <v>115</v>
      </c>
      <c r="I1138" s="8" t="s">
        <v>760</v>
      </c>
      <c r="J1138" s="8" t="s">
        <v>558</v>
      </c>
      <c r="K1138" s="6"/>
      <c r="L1138" s="7">
        <v>45648</v>
      </c>
      <c r="M1138" s="6" t="s">
        <v>32</v>
      </c>
      <c r="N1138" s="8" t="s">
        <v>4045</v>
      </c>
      <c r="O1138" s="6">
        <f>HYPERLINK("https://docs.wto.org/imrd/directdoc.asp?DDFDocuments/t/G/TBTN24/ARE630.DOCX", "https://docs.wto.org/imrd/directdoc.asp?DDFDocuments/t/G/TBTN24/ARE630.DOCX")</f>
      </c>
      <c r="P1138" s="6">
        <f>HYPERLINK("https://docs.wto.org/imrd/directdoc.asp?DDFDocuments/u/G/TBTN24/ARE630.DOCX", "https://docs.wto.org/imrd/directdoc.asp?DDFDocuments/u/G/TBTN24/ARE630.DOCX")</f>
      </c>
      <c r="Q1138" s="6">
        <f>HYPERLINK("https://docs.wto.org/imrd/directdoc.asp?DDFDocuments/v/G/TBTN24/ARE630.DOCX", "https://docs.wto.org/imrd/directdoc.asp?DDFDocuments/v/G/TBTN24/ARE630.DOCX")</f>
      </c>
    </row>
    <row r="1139">
      <c r="A1139" s="6" t="s">
        <v>3272</v>
      </c>
      <c r="B1139" s="7">
        <v>45588</v>
      </c>
      <c r="C1139" s="9">
        <f>HYPERLINK("https://eping.wto.org/en/Search?viewData= G/TBT/N/ARE/451/Add.1, G/TBT/N/BHR/555/Add.1, G/TBT/N/KWT/442/Add.1, G/TBT/N/OMN/388/Add.1, G/TBT/N/QAT/553/Add.1, G/TBT/N/SAU/1095/Add.1, G/TBT/N/YEM/156/Add.1"," G/TBT/N/ARE/451/Add.1, G/TBT/N/BHR/555/Add.1, G/TBT/N/KWT/442/Add.1, G/TBT/N/OMN/388/Add.1, G/TBT/N/QAT/553/Add.1, G/TBT/N/SAU/1095/Add.1, G/TBT/N/YEM/156/Add.1")</f>
      </c>
      <c r="D1139" s="8" t="s">
        <v>3819</v>
      </c>
      <c r="E1139" s="8" t="s">
        <v>4085</v>
      </c>
      <c r="F1139" s="8" t="s">
        <v>3777</v>
      </c>
      <c r="G1139" s="8" t="s">
        <v>3821</v>
      </c>
      <c r="H1139" s="8" t="s">
        <v>3836</v>
      </c>
      <c r="I1139" s="8" t="s">
        <v>88</v>
      </c>
      <c r="J1139" s="8" t="s">
        <v>4086</v>
      </c>
      <c r="K1139" s="6"/>
      <c r="L1139" s="7" t="s">
        <v>22</v>
      </c>
      <c r="M1139" s="6" t="s">
        <v>40</v>
      </c>
      <c r="N1139" s="8" t="s">
        <v>4087</v>
      </c>
      <c r="O1139" s="6">
        <f>HYPERLINK("https://docs.wto.org/imrd/directdoc.asp?DDFDocuments/t/G/TBTN18/ARE451A1.DOCX", "https://docs.wto.org/imrd/directdoc.asp?DDFDocuments/t/G/TBTN18/ARE451A1.DOCX")</f>
      </c>
      <c r="P1139" s="6">
        <f>HYPERLINK("https://docs.wto.org/imrd/directdoc.asp?DDFDocuments/u/G/TBTN18/ARE451A1.DOCX", "https://docs.wto.org/imrd/directdoc.asp?DDFDocuments/u/G/TBTN18/ARE451A1.DOCX")</f>
      </c>
      <c r="Q1139" s="6">
        <f>HYPERLINK("https://docs.wto.org/imrd/directdoc.asp?DDFDocuments/v/G/TBTN18/ARE451A1.DOCX", "https://docs.wto.org/imrd/directdoc.asp?DDFDocuments/v/G/TBTN18/ARE451A1.DOCX")</f>
      </c>
    </row>
    <row r="1140">
      <c r="A1140" s="6" t="s">
        <v>82</v>
      </c>
      <c r="B1140" s="7">
        <v>45588</v>
      </c>
      <c r="C1140" s="9">
        <f>HYPERLINK("https://eping.wto.org/en/Search?viewData= G/SPS/N/BRA/2351"," G/SPS/N/BRA/2351")</f>
      </c>
      <c r="D1140" s="8" t="s">
        <v>4102</v>
      </c>
      <c r="E1140" s="8" t="s">
        <v>4103</v>
      </c>
      <c r="F1140" s="8" t="s">
        <v>3915</v>
      </c>
      <c r="G1140" s="8" t="s">
        <v>22</v>
      </c>
      <c r="H1140" s="8" t="s">
        <v>22</v>
      </c>
      <c r="I1140" s="8" t="s">
        <v>1371</v>
      </c>
      <c r="J1140" s="8" t="s">
        <v>4104</v>
      </c>
      <c r="K1140" s="6"/>
      <c r="L1140" s="7" t="s">
        <v>22</v>
      </c>
      <c r="M1140" s="6" t="s">
        <v>32</v>
      </c>
      <c r="N1140" s="8" t="s">
        <v>4105</v>
      </c>
      <c r="O1140" s="6">
        <f>HYPERLINK("https://docs.wto.org/imrd/directdoc.asp?DDFDocuments/t/G/SPS/NBRA2351.DOCX", "https://docs.wto.org/imrd/directdoc.asp?DDFDocuments/t/G/SPS/NBRA2351.DOCX")</f>
      </c>
      <c r="P1140" s="6">
        <f>HYPERLINK("https://docs.wto.org/imrd/directdoc.asp?DDFDocuments/u/G/SPS/NBRA2351.DOCX", "https://docs.wto.org/imrd/directdoc.asp?DDFDocuments/u/G/SPS/NBRA2351.DOCX")</f>
      </c>
      <c r="Q1140" s="6">
        <f>HYPERLINK("https://docs.wto.org/imrd/directdoc.asp?DDFDocuments/v/G/SPS/NBRA2351.DOCX", "https://docs.wto.org/imrd/directdoc.asp?DDFDocuments/v/G/SPS/NBRA2351.DOCX")</f>
      </c>
    </row>
    <row r="1141">
      <c r="A1141" s="6" t="s">
        <v>976</v>
      </c>
      <c r="B1141" s="7">
        <v>45588</v>
      </c>
      <c r="C1141" s="9">
        <f>HYPERLINK("https://eping.wto.org/en/Search?viewData= G/TBT/N/ARE/631, G/TBT/N/BHR/715, G/TBT/N/KWT/695, G/TBT/N/OMN/539, G/TBT/N/QAT/690, G/TBT/N/SAU/1360, G/TBT/N/YEM/296"," G/TBT/N/ARE/631, G/TBT/N/BHR/715, G/TBT/N/KWT/695, G/TBT/N/OMN/539, G/TBT/N/QAT/690, G/TBT/N/SAU/1360, G/TBT/N/YEM/296")</f>
      </c>
      <c r="D1141" s="8" t="s">
        <v>4077</v>
      </c>
      <c r="E1141" s="8" t="s">
        <v>4078</v>
      </c>
      <c r="F1141" s="8" t="s">
        <v>3777</v>
      </c>
      <c r="G1141" s="8" t="s">
        <v>22</v>
      </c>
      <c r="H1141" s="8" t="s">
        <v>115</v>
      </c>
      <c r="I1141" s="8" t="s">
        <v>760</v>
      </c>
      <c r="J1141" s="8" t="s">
        <v>58</v>
      </c>
      <c r="K1141" s="6"/>
      <c r="L1141" s="7">
        <v>45648</v>
      </c>
      <c r="M1141" s="6" t="s">
        <v>32</v>
      </c>
      <c r="N1141" s="8" t="s">
        <v>4079</v>
      </c>
      <c r="O1141" s="6">
        <f>HYPERLINK("https://docs.wto.org/imrd/directdoc.asp?DDFDocuments/t/G/TBTN24/ARE631.DOCX", "https://docs.wto.org/imrd/directdoc.asp?DDFDocuments/t/G/TBTN24/ARE631.DOCX")</f>
      </c>
      <c r="P1141" s="6">
        <f>HYPERLINK("https://docs.wto.org/imrd/directdoc.asp?DDFDocuments/u/G/TBTN24/ARE631.DOCX", "https://docs.wto.org/imrd/directdoc.asp?DDFDocuments/u/G/TBTN24/ARE631.DOCX")</f>
      </c>
      <c r="Q1141" s="6">
        <f>HYPERLINK("https://docs.wto.org/imrd/directdoc.asp?DDFDocuments/v/G/TBTN24/ARE631.DOCX", "https://docs.wto.org/imrd/directdoc.asp?DDFDocuments/v/G/TBTN24/ARE631.DOCX")</f>
      </c>
    </row>
    <row r="1142">
      <c r="A1142" s="6" t="s">
        <v>1982</v>
      </c>
      <c r="B1142" s="7">
        <v>45588</v>
      </c>
      <c r="C1142" s="9">
        <f>HYPERLINK("https://eping.wto.org/en/Search?viewData= G/TBT/N/ARE/631, G/TBT/N/BHR/715, G/TBT/N/KWT/695, G/TBT/N/OMN/539, G/TBT/N/QAT/690, G/TBT/N/SAU/1360, G/TBT/N/YEM/296"," G/TBT/N/ARE/631, G/TBT/N/BHR/715, G/TBT/N/KWT/695, G/TBT/N/OMN/539, G/TBT/N/QAT/690, G/TBT/N/SAU/1360, G/TBT/N/YEM/296")</f>
      </c>
      <c r="D1142" s="8" t="s">
        <v>4077</v>
      </c>
      <c r="E1142" s="8" t="s">
        <v>4078</v>
      </c>
      <c r="F1142" s="8" t="s">
        <v>3777</v>
      </c>
      <c r="G1142" s="8" t="s">
        <v>22</v>
      </c>
      <c r="H1142" s="8" t="s">
        <v>115</v>
      </c>
      <c r="I1142" s="8" t="s">
        <v>760</v>
      </c>
      <c r="J1142" s="8" t="s">
        <v>58</v>
      </c>
      <c r="K1142" s="6"/>
      <c r="L1142" s="7">
        <v>45648</v>
      </c>
      <c r="M1142" s="6" t="s">
        <v>32</v>
      </c>
      <c r="N1142" s="8" t="s">
        <v>4079</v>
      </c>
      <c r="O1142" s="6">
        <f>HYPERLINK("https://docs.wto.org/imrd/directdoc.asp?DDFDocuments/t/G/TBTN24/ARE631.DOCX", "https://docs.wto.org/imrd/directdoc.asp?DDFDocuments/t/G/TBTN24/ARE631.DOCX")</f>
      </c>
      <c r="P1142" s="6">
        <f>HYPERLINK("https://docs.wto.org/imrd/directdoc.asp?DDFDocuments/u/G/TBTN24/ARE631.DOCX", "https://docs.wto.org/imrd/directdoc.asp?DDFDocuments/u/G/TBTN24/ARE631.DOCX")</f>
      </c>
      <c r="Q1142" s="6">
        <f>HYPERLINK("https://docs.wto.org/imrd/directdoc.asp?DDFDocuments/v/G/TBTN24/ARE631.DOCX", "https://docs.wto.org/imrd/directdoc.asp?DDFDocuments/v/G/TBTN24/ARE631.DOCX")</f>
      </c>
    </row>
    <row r="1143">
      <c r="A1143" s="6" t="s">
        <v>3255</v>
      </c>
      <c r="B1143" s="7">
        <v>45588</v>
      </c>
      <c r="C1143" s="9">
        <f>HYPERLINK("https://eping.wto.org/en/Search?viewData= G/TBT/N/ARE/629, G/TBT/N/BHR/713, G/TBT/N/KWT/693, G/TBT/N/OMN/537, G/TBT/N/QAT/688, G/TBT/N/SAU/1358, G/TBT/N/YEM/294"," G/TBT/N/ARE/629, G/TBT/N/BHR/713, G/TBT/N/KWT/693, G/TBT/N/OMN/537, G/TBT/N/QAT/688, G/TBT/N/SAU/1358, G/TBT/N/YEM/294")</f>
      </c>
      <c r="D1143" s="8" t="s">
        <v>4106</v>
      </c>
      <c r="E1143" s="8" t="s">
        <v>4107</v>
      </c>
      <c r="F1143" s="8" t="s">
        <v>4052</v>
      </c>
      <c r="G1143" s="8" t="s">
        <v>22</v>
      </c>
      <c r="H1143" s="8" t="s">
        <v>4053</v>
      </c>
      <c r="I1143" s="8" t="s">
        <v>2475</v>
      </c>
      <c r="J1143" s="8" t="s">
        <v>22</v>
      </c>
      <c r="K1143" s="6"/>
      <c r="L1143" s="7">
        <v>45648</v>
      </c>
      <c r="M1143" s="6" t="s">
        <v>32</v>
      </c>
      <c r="N1143" s="8" t="s">
        <v>4108</v>
      </c>
      <c r="O1143" s="6">
        <f>HYPERLINK("https://docs.wto.org/imrd/directdoc.asp?DDFDocuments/t/G/TBTN24/ARE629.DOCX", "https://docs.wto.org/imrd/directdoc.asp?DDFDocuments/t/G/TBTN24/ARE629.DOCX")</f>
      </c>
      <c r="P1143" s="6">
        <f>HYPERLINK("https://docs.wto.org/imrd/directdoc.asp?DDFDocuments/u/G/TBTN24/ARE629.DOCX", "https://docs.wto.org/imrd/directdoc.asp?DDFDocuments/u/G/TBTN24/ARE629.DOCX")</f>
      </c>
      <c r="Q1143" s="6">
        <f>HYPERLINK("https://docs.wto.org/imrd/directdoc.asp?DDFDocuments/v/G/TBTN24/ARE629.DOCX", "https://docs.wto.org/imrd/directdoc.asp?DDFDocuments/v/G/TBTN24/ARE629.DOCX")</f>
      </c>
    </row>
    <row r="1144">
      <c r="A1144" s="6" t="s">
        <v>3272</v>
      </c>
      <c r="B1144" s="7">
        <v>45588</v>
      </c>
      <c r="C1144" s="9">
        <f>HYPERLINK("https://eping.wto.org/en/Search?viewData= G/TBT/N/ARE/630, G/TBT/N/BHR/714, G/TBT/N/KWT/694, G/TBT/N/OMN/538, G/TBT/N/QAT/689, G/TBT/N/SAU/1359, G/TBT/N/YEM/295"," G/TBT/N/ARE/630, G/TBT/N/BHR/714, G/TBT/N/KWT/694, G/TBT/N/OMN/538, G/TBT/N/QAT/689, G/TBT/N/SAU/1359, G/TBT/N/YEM/295")</f>
      </c>
      <c r="D1144" s="8" t="s">
        <v>4043</v>
      </c>
      <c r="E1144" s="8" t="s">
        <v>4044</v>
      </c>
      <c r="F1144" s="8" t="s">
        <v>3777</v>
      </c>
      <c r="G1144" s="8" t="s">
        <v>22</v>
      </c>
      <c r="H1144" s="8" t="s">
        <v>115</v>
      </c>
      <c r="I1144" s="8" t="s">
        <v>760</v>
      </c>
      <c r="J1144" s="8" t="s">
        <v>558</v>
      </c>
      <c r="K1144" s="6"/>
      <c r="L1144" s="7">
        <v>45648</v>
      </c>
      <c r="M1144" s="6" t="s">
        <v>32</v>
      </c>
      <c r="N1144" s="8" t="s">
        <v>4045</v>
      </c>
      <c r="O1144" s="6">
        <f>HYPERLINK("https://docs.wto.org/imrd/directdoc.asp?DDFDocuments/t/G/TBTN24/ARE630.DOCX", "https://docs.wto.org/imrd/directdoc.asp?DDFDocuments/t/G/TBTN24/ARE630.DOCX")</f>
      </c>
      <c r="P1144" s="6">
        <f>HYPERLINK("https://docs.wto.org/imrd/directdoc.asp?DDFDocuments/u/G/TBTN24/ARE630.DOCX", "https://docs.wto.org/imrd/directdoc.asp?DDFDocuments/u/G/TBTN24/ARE630.DOCX")</f>
      </c>
      <c r="Q1144" s="6">
        <f>HYPERLINK("https://docs.wto.org/imrd/directdoc.asp?DDFDocuments/v/G/TBTN24/ARE630.DOCX", "https://docs.wto.org/imrd/directdoc.asp?DDFDocuments/v/G/TBTN24/ARE630.DOCX")</f>
      </c>
    </row>
    <row r="1145">
      <c r="A1145" s="6" t="s">
        <v>26</v>
      </c>
      <c r="B1145" s="7">
        <v>45588</v>
      </c>
      <c r="C1145" s="9">
        <f>HYPERLINK("https://eping.wto.org/en/Search?viewData= G/TBT/N/BDI/308/Add.2, G/TBT/N/KEN/1354/Add.2, G/TBT/N/RWA/749/Add.2, G/TBT/N/TZA/872/Add.2, G/TBT/N/UGA/1719/Add.2"," G/TBT/N/BDI/308/Add.2, G/TBT/N/KEN/1354/Add.2, G/TBT/N/RWA/749/Add.2, G/TBT/N/TZA/872/Add.2, G/TBT/N/UGA/1719/Add.2")</f>
      </c>
      <c r="D1145" s="8" t="s">
        <v>2083</v>
      </c>
      <c r="E1145" s="8" t="s">
        <v>4101</v>
      </c>
      <c r="F1145" s="8" t="s">
        <v>2085</v>
      </c>
      <c r="G1145" s="8" t="s">
        <v>2086</v>
      </c>
      <c r="H1145" s="8" t="s">
        <v>79</v>
      </c>
      <c r="I1145" s="8" t="s">
        <v>4109</v>
      </c>
      <c r="J1145" s="8" t="s">
        <v>812</v>
      </c>
      <c r="K1145" s="6"/>
      <c r="L1145" s="7" t="s">
        <v>22</v>
      </c>
      <c r="M1145" s="6" t="s">
        <v>40</v>
      </c>
      <c r="N1145" s="6"/>
      <c r="O1145" s="6">
        <f>HYPERLINK("https://docs.wto.org/imrd/directdoc.asp?DDFDocuments/t/G/TBTN22/BDI308A2.DOCX", "https://docs.wto.org/imrd/directdoc.asp?DDFDocuments/t/G/TBTN22/BDI308A2.DOCX")</f>
      </c>
      <c r="P1145" s="6">
        <f>HYPERLINK("https://docs.wto.org/imrd/directdoc.asp?DDFDocuments/u/G/TBTN22/BDI308A2.DOCX", "https://docs.wto.org/imrd/directdoc.asp?DDFDocuments/u/G/TBTN22/BDI308A2.DOCX")</f>
      </c>
      <c r="Q1145" s="6">
        <f>HYPERLINK("https://docs.wto.org/imrd/directdoc.asp?DDFDocuments/v/G/TBTN22/BDI308A2.DOCX", "https://docs.wto.org/imrd/directdoc.asp?DDFDocuments/v/G/TBTN22/BDI308A2.DOCX")</f>
      </c>
    </row>
    <row r="1146">
      <c r="A1146" s="6" t="s">
        <v>49</v>
      </c>
      <c r="B1146" s="7">
        <v>45588</v>
      </c>
      <c r="C1146" s="9">
        <f>HYPERLINK("https://eping.wto.org/en/Search?viewData= G/TBT/N/BDI/308/Add.2, G/TBT/N/KEN/1354/Add.2, G/TBT/N/RWA/749/Add.2, G/TBT/N/TZA/872/Add.2, G/TBT/N/UGA/1719/Add.2"," G/TBT/N/BDI/308/Add.2, G/TBT/N/KEN/1354/Add.2, G/TBT/N/RWA/749/Add.2, G/TBT/N/TZA/872/Add.2, G/TBT/N/UGA/1719/Add.2")</f>
      </c>
      <c r="D1146" s="8" t="s">
        <v>2083</v>
      </c>
      <c r="E1146" s="8" t="s">
        <v>4101</v>
      </c>
      <c r="F1146" s="8" t="s">
        <v>2085</v>
      </c>
      <c r="G1146" s="8" t="s">
        <v>2086</v>
      </c>
      <c r="H1146" s="8" t="s">
        <v>79</v>
      </c>
      <c r="I1146" s="8" t="s">
        <v>4109</v>
      </c>
      <c r="J1146" s="8" t="s">
        <v>812</v>
      </c>
      <c r="K1146" s="6"/>
      <c r="L1146" s="7" t="s">
        <v>22</v>
      </c>
      <c r="M1146" s="6" t="s">
        <v>40</v>
      </c>
      <c r="N1146" s="6"/>
      <c r="O1146" s="6">
        <f>HYPERLINK("https://docs.wto.org/imrd/directdoc.asp?DDFDocuments/t/G/TBTN22/BDI308A2.DOCX", "https://docs.wto.org/imrd/directdoc.asp?DDFDocuments/t/G/TBTN22/BDI308A2.DOCX")</f>
      </c>
      <c r="P1146" s="6">
        <f>HYPERLINK("https://docs.wto.org/imrd/directdoc.asp?DDFDocuments/u/G/TBTN22/BDI308A2.DOCX", "https://docs.wto.org/imrd/directdoc.asp?DDFDocuments/u/G/TBTN22/BDI308A2.DOCX")</f>
      </c>
      <c r="Q1146" s="6">
        <f>HYPERLINK("https://docs.wto.org/imrd/directdoc.asp?DDFDocuments/v/G/TBTN22/BDI308A2.DOCX", "https://docs.wto.org/imrd/directdoc.asp?DDFDocuments/v/G/TBTN22/BDI308A2.DOCX")</f>
      </c>
    </row>
    <row r="1147">
      <c r="A1147" s="6" t="s">
        <v>26</v>
      </c>
      <c r="B1147" s="7">
        <v>45588</v>
      </c>
      <c r="C1147" s="9">
        <f>HYPERLINK("https://eping.wto.org/en/Search?viewData= G/TBT/N/BDI/288/Add.2, G/TBT/N/KEN/1322/Add.2, G/TBT/N/RWA/722/Add.2, G/TBT/N/TZA/841/Add.2, G/TBT/N/UGA/1696/Add.2"," G/TBT/N/BDI/288/Add.2, G/TBT/N/KEN/1322/Add.2, G/TBT/N/RWA/722/Add.2, G/TBT/N/TZA/841/Add.2, G/TBT/N/UGA/1696/Add.2")</f>
      </c>
      <c r="D1147" s="8" t="s">
        <v>4090</v>
      </c>
      <c r="E1147" s="8" t="s">
        <v>4091</v>
      </c>
      <c r="F1147" s="8" t="s">
        <v>4092</v>
      </c>
      <c r="G1147" s="8" t="s">
        <v>2098</v>
      </c>
      <c r="H1147" s="8" t="s">
        <v>2117</v>
      </c>
      <c r="I1147" s="8" t="s">
        <v>4071</v>
      </c>
      <c r="J1147" s="8" t="s">
        <v>812</v>
      </c>
      <c r="K1147" s="6"/>
      <c r="L1147" s="7" t="s">
        <v>22</v>
      </c>
      <c r="M1147" s="6" t="s">
        <v>40</v>
      </c>
      <c r="N1147" s="6"/>
      <c r="O1147" s="6">
        <f>HYPERLINK("https://docs.wto.org/imrd/directdoc.asp?DDFDocuments/t/G/TBTN22/BDI288A2.DOCX", "https://docs.wto.org/imrd/directdoc.asp?DDFDocuments/t/G/TBTN22/BDI288A2.DOCX")</f>
      </c>
      <c r="P1147" s="6">
        <f>HYPERLINK("https://docs.wto.org/imrd/directdoc.asp?DDFDocuments/u/G/TBTN22/BDI288A2.DOCX", "https://docs.wto.org/imrd/directdoc.asp?DDFDocuments/u/G/TBTN22/BDI288A2.DOCX")</f>
      </c>
      <c r="Q1147" s="6">
        <f>HYPERLINK("https://docs.wto.org/imrd/directdoc.asp?DDFDocuments/v/G/TBTN22/BDI288A2.DOCX", "https://docs.wto.org/imrd/directdoc.asp?DDFDocuments/v/G/TBTN22/BDI288A2.DOCX")</f>
      </c>
    </row>
    <row r="1148">
      <c r="A1148" s="6" t="s">
        <v>1989</v>
      </c>
      <c r="B1148" s="7">
        <v>45588</v>
      </c>
      <c r="C1148" s="9">
        <f>HYPERLINK("https://eping.wto.org/en/Search?viewData= G/SPS/N/TUR/150"," G/SPS/N/TUR/150")</f>
      </c>
      <c r="D1148" s="8" t="s">
        <v>4110</v>
      </c>
      <c r="E1148" s="8" t="s">
        <v>4111</v>
      </c>
      <c r="F1148" s="8" t="s">
        <v>4112</v>
      </c>
      <c r="G1148" s="8" t="s">
        <v>22</v>
      </c>
      <c r="H1148" s="8" t="s">
        <v>22</v>
      </c>
      <c r="I1148" s="8" t="s">
        <v>120</v>
      </c>
      <c r="J1148" s="8" t="s">
        <v>416</v>
      </c>
      <c r="K1148" s="6" t="s">
        <v>22</v>
      </c>
      <c r="L1148" s="7">
        <v>45648</v>
      </c>
      <c r="M1148" s="6" t="s">
        <v>32</v>
      </c>
      <c r="N1148" s="8" t="s">
        <v>4113</v>
      </c>
      <c r="O1148" s="6">
        <f>HYPERLINK("https://docs.wto.org/imrd/directdoc.asp?DDFDocuments/t/G/SPS/NTUR150.DOCX", "https://docs.wto.org/imrd/directdoc.asp?DDFDocuments/t/G/SPS/NTUR150.DOCX")</f>
      </c>
      <c r="P1148" s="6">
        <f>HYPERLINK("https://docs.wto.org/imrd/directdoc.asp?DDFDocuments/u/G/SPS/NTUR150.DOCX", "https://docs.wto.org/imrd/directdoc.asp?DDFDocuments/u/G/SPS/NTUR150.DOCX")</f>
      </c>
      <c r="Q1148" s="6">
        <f>HYPERLINK("https://docs.wto.org/imrd/directdoc.asp?DDFDocuments/v/G/SPS/NTUR150.DOCX", "https://docs.wto.org/imrd/directdoc.asp?DDFDocuments/v/G/SPS/NTUR150.DOCX")</f>
      </c>
    </row>
    <row r="1149">
      <c r="A1149" s="6" t="s">
        <v>26</v>
      </c>
      <c r="B1149" s="7">
        <v>45588</v>
      </c>
      <c r="C1149" s="9">
        <f>HYPERLINK("https://eping.wto.org/en/Search?viewData= G/TBT/N/BDI/287/Add.2, G/TBT/N/KEN/1321/Add.2, G/TBT/N/RWA/721/Add.2, G/TBT/N/TZA/840/Add.2, G/TBT/N/UGA/1695/Add.2"," G/TBT/N/BDI/287/Add.2, G/TBT/N/KEN/1321/Add.2, G/TBT/N/RWA/721/Add.2, G/TBT/N/TZA/840/Add.2, G/TBT/N/UGA/1695/Add.2")</f>
      </c>
      <c r="D1149" s="8" t="s">
        <v>2103</v>
      </c>
      <c r="E1149" s="8" t="s">
        <v>4070</v>
      </c>
      <c r="F1149" s="8" t="s">
        <v>2105</v>
      </c>
      <c r="G1149" s="8" t="s">
        <v>2106</v>
      </c>
      <c r="H1149" s="8" t="s">
        <v>2107</v>
      </c>
      <c r="I1149" s="8" t="s">
        <v>4071</v>
      </c>
      <c r="J1149" s="8" t="s">
        <v>812</v>
      </c>
      <c r="K1149" s="6"/>
      <c r="L1149" s="7" t="s">
        <v>22</v>
      </c>
      <c r="M1149" s="6" t="s">
        <v>40</v>
      </c>
      <c r="N1149" s="6"/>
      <c r="O1149" s="6">
        <f>HYPERLINK("https://docs.wto.org/imrd/directdoc.asp?DDFDocuments/t/G/TBTN22/BDI287A2.DOCX", "https://docs.wto.org/imrd/directdoc.asp?DDFDocuments/t/G/TBTN22/BDI287A2.DOCX")</f>
      </c>
      <c r="P1149" s="6">
        <f>HYPERLINK("https://docs.wto.org/imrd/directdoc.asp?DDFDocuments/u/G/TBTN22/BDI287A2.DOCX", "https://docs.wto.org/imrd/directdoc.asp?DDFDocuments/u/G/TBTN22/BDI287A2.DOCX")</f>
      </c>
      <c r="Q1149" s="6">
        <f>HYPERLINK("https://docs.wto.org/imrd/directdoc.asp?DDFDocuments/v/G/TBTN22/BDI287A2.DOCX", "https://docs.wto.org/imrd/directdoc.asp?DDFDocuments/v/G/TBTN22/BDI287A2.DOCX")</f>
      </c>
    </row>
    <row r="1150">
      <c r="A1150" s="6" t="s">
        <v>60</v>
      </c>
      <c r="B1150" s="7">
        <v>45588</v>
      </c>
      <c r="C1150" s="9">
        <f>HYPERLINK("https://eping.wto.org/en/Search?viewData= G/TBT/N/BDI/308/Add.2, G/TBT/N/KEN/1354/Add.2, G/TBT/N/RWA/749/Add.2, G/TBT/N/TZA/872/Add.2, G/TBT/N/UGA/1719/Add.2"," G/TBT/N/BDI/308/Add.2, G/TBT/N/KEN/1354/Add.2, G/TBT/N/RWA/749/Add.2, G/TBT/N/TZA/872/Add.2, G/TBT/N/UGA/1719/Add.2")</f>
      </c>
      <c r="D1150" s="8" t="s">
        <v>2083</v>
      </c>
      <c r="E1150" s="8" t="s">
        <v>4101</v>
      </c>
      <c r="F1150" s="8" t="s">
        <v>2085</v>
      </c>
      <c r="G1150" s="8" t="s">
        <v>2086</v>
      </c>
      <c r="H1150" s="8" t="s">
        <v>79</v>
      </c>
      <c r="I1150" s="8" t="s">
        <v>4109</v>
      </c>
      <c r="J1150" s="8" t="s">
        <v>812</v>
      </c>
      <c r="K1150" s="6"/>
      <c r="L1150" s="7" t="s">
        <v>22</v>
      </c>
      <c r="M1150" s="6" t="s">
        <v>40</v>
      </c>
      <c r="N1150" s="6"/>
      <c r="O1150" s="6">
        <f>HYPERLINK("https://docs.wto.org/imrd/directdoc.asp?DDFDocuments/t/G/TBTN22/BDI308A2.DOCX", "https://docs.wto.org/imrd/directdoc.asp?DDFDocuments/t/G/TBTN22/BDI308A2.DOCX")</f>
      </c>
      <c r="P1150" s="6">
        <f>HYPERLINK("https://docs.wto.org/imrd/directdoc.asp?DDFDocuments/u/G/TBTN22/BDI308A2.DOCX", "https://docs.wto.org/imrd/directdoc.asp?DDFDocuments/u/G/TBTN22/BDI308A2.DOCX")</f>
      </c>
      <c r="Q1150" s="6">
        <f>HYPERLINK("https://docs.wto.org/imrd/directdoc.asp?DDFDocuments/v/G/TBTN22/BDI308A2.DOCX", "https://docs.wto.org/imrd/directdoc.asp?DDFDocuments/v/G/TBTN22/BDI308A2.DOCX")</f>
      </c>
    </row>
    <row r="1151">
      <c r="A1151" s="6" t="s">
        <v>49</v>
      </c>
      <c r="B1151" s="7">
        <v>45588</v>
      </c>
      <c r="C1151" s="9">
        <f>HYPERLINK("https://eping.wto.org/en/Search?viewData= G/TBT/N/BDI/288/Add.2, G/TBT/N/KEN/1322/Add.2, G/TBT/N/RWA/722/Add.2, G/TBT/N/TZA/841/Add.2, G/TBT/N/UGA/1696/Add.2"," G/TBT/N/BDI/288/Add.2, G/TBT/N/KEN/1322/Add.2, G/TBT/N/RWA/722/Add.2, G/TBT/N/TZA/841/Add.2, G/TBT/N/UGA/1696/Add.2")</f>
      </c>
      <c r="D1151" s="8" t="s">
        <v>4090</v>
      </c>
      <c r="E1151" s="8" t="s">
        <v>4091</v>
      </c>
      <c r="F1151" s="8" t="s">
        <v>4092</v>
      </c>
      <c r="G1151" s="8" t="s">
        <v>2098</v>
      </c>
      <c r="H1151" s="8" t="s">
        <v>2117</v>
      </c>
      <c r="I1151" s="8" t="s">
        <v>4071</v>
      </c>
      <c r="J1151" s="8" t="s">
        <v>812</v>
      </c>
      <c r="K1151" s="6"/>
      <c r="L1151" s="7" t="s">
        <v>22</v>
      </c>
      <c r="M1151" s="6" t="s">
        <v>40</v>
      </c>
      <c r="N1151" s="6"/>
      <c r="O1151" s="6">
        <f>HYPERLINK("https://docs.wto.org/imrd/directdoc.asp?DDFDocuments/t/G/TBTN22/BDI288A2.DOCX", "https://docs.wto.org/imrd/directdoc.asp?DDFDocuments/t/G/TBTN22/BDI288A2.DOCX")</f>
      </c>
      <c r="P1151" s="6">
        <f>HYPERLINK("https://docs.wto.org/imrd/directdoc.asp?DDFDocuments/u/G/TBTN22/BDI288A2.DOCX", "https://docs.wto.org/imrd/directdoc.asp?DDFDocuments/u/G/TBTN22/BDI288A2.DOCX")</f>
      </c>
      <c r="Q1151" s="6">
        <f>HYPERLINK("https://docs.wto.org/imrd/directdoc.asp?DDFDocuments/v/G/TBTN22/BDI288A2.DOCX", "https://docs.wto.org/imrd/directdoc.asp?DDFDocuments/v/G/TBTN22/BDI288A2.DOCX")</f>
      </c>
    </row>
    <row r="1152">
      <c r="A1152" s="6" t="s">
        <v>1982</v>
      </c>
      <c r="B1152" s="7">
        <v>45588</v>
      </c>
      <c r="C1152" s="9">
        <f>HYPERLINK("https://eping.wto.org/en/Search?viewData= G/TBT/N/ARE/628, G/TBT/N/BHR/712, G/TBT/N/KWT/692, G/TBT/N/OMN/536, G/TBT/N/QAT/687, G/TBT/N/SAU/1357, G/TBT/N/YEM/293"," G/TBT/N/ARE/628, G/TBT/N/BHR/712, G/TBT/N/KWT/692, G/TBT/N/OMN/536, G/TBT/N/QAT/687, G/TBT/N/SAU/1357, G/TBT/N/YEM/293")</f>
      </c>
      <c r="D1152" s="8" t="s">
        <v>4050</v>
      </c>
      <c r="E1152" s="8" t="s">
        <v>4051</v>
      </c>
      <c r="F1152" s="8" t="s">
        <v>4052</v>
      </c>
      <c r="G1152" s="8" t="s">
        <v>22</v>
      </c>
      <c r="H1152" s="8" t="s">
        <v>4053</v>
      </c>
      <c r="I1152" s="8" t="s">
        <v>2475</v>
      </c>
      <c r="J1152" s="8" t="s">
        <v>22</v>
      </c>
      <c r="K1152" s="6"/>
      <c r="L1152" s="7">
        <v>45648</v>
      </c>
      <c r="M1152" s="6" t="s">
        <v>32</v>
      </c>
      <c r="N1152" s="8" t="s">
        <v>4054</v>
      </c>
      <c r="O1152" s="6">
        <f>HYPERLINK("https://docs.wto.org/imrd/directdoc.asp?DDFDocuments/t/G/TBTN24/ARE628.DOCX", "https://docs.wto.org/imrd/directdoc.asp?DDFDocuments/t/G/TBTN24/ARE628.DOCX")</f>
      </c>
      <c r="P1152" s="6">
        <f>HYPERLINK("https://docs.wto.org/imrd/directdoc.asp?DDFDocuments/u/G/TBTN24/ARE628.DOCX", "https://docs.wto.org/imrd/directdoc.asp?DDFDocuments/u/G/TBTN24/ARE628.DOCX")</f>
      </c>
      <c r="Q1152" s="6">
        <f>HYPERLINK("https://docs.wto.org/imrd/directdoc.asp?DDFDocuments/v/G/TBTN24/ARE628.DOCX", "https://docs.wto.org/imrd/directdoc.asp?DDFDocuments/v/G/TBTN24/ARE628.DOCX")</f>
      </c>
    </row>
    <row r="1153">
      <c r="A1153" s="6" t="s">
        <v>226</v>
      </c>
      <c r="B1153" s="7">
        <v>45588</v>
      </c>
      <c r="C1153" s="9">
        <f>HYPERLINK("https://eping.wto.org/en/Search?viewData= G/TBT/N/ARE/629, G/TBT/N/BHR/713, G/TBT/N/KWT/693, G/TBT/N/OMN/537, G/TBT/N/QAT/688, G/TBT/N/SAU/1358, G/TBT/N/YEM/294"," G/TBT/N/ARE/629, G/TBT/N/BHR/713, G/TBT/N/KWT/693, G/TBT/N/OMN/537, G/TBT/N/QAT/688, G/TBT/N/SAU/1358, G/TBT/N/YEM/294")</f>
      </c>
      <c r="D1153" s="8" t="s">
        <v>4106</v>
      </c>
      <c r="E1153" s="8" t="s">
        <v>4107</v>
      </c>
      <c r="F1153" s="8" t="s">
        <v>4052</v>
      </c>
      <c r="G1153" s="8" t="s">
        <v>22</v>
      </c>
      <c r="H1153" s="8" t="s">
        <v>4053</v>
      </c>
      <c r="I1153" s="8" t="s">
        <v>2475</v>
      </c>
      <c r="J1153" s="8" t="s">
        <v>22</v>
      </c>
      <c r="K1153" s="6"/>
      <c r="L1153" s="7">
        <v>45648</v>
      </c>
      <c r="M1153" s="6" t="s">
        <v>32</v>
      </c>
      <c r="N1153" s="8" t="s">
        <v>4108</v>
      </c>
      <c r="O1153" s="6">
        <f>HYPERLINK("https://docs.wto.org/imrd/directdoc.asp?DDFDocuments/t/G/TBTN24/ARE629.DOCX", "https://docs.wto.org/imrd/directdoc.asp?DDFDocuments/t/G/TBTN24/ARE629.DOCX")</f>
      </c>
      <c r="P1153" s="6">
        <f>HYPERLINK("https://docs.wto.org/imrd/directdoc.asp?DDFDocuments/u/G/TBTN24/ARE629.DOCX", "https://docs.wto.org/imrd/directdoc.asp?DDFDocuments/u/G/TBTN24/ARE629.DOCX")</f>
      </c>
      <c r="Q1153" s="6">
        <f>HYPERLINK("https://docs.wto.org/imrd/directdoc.asp?DDFDocuments/v/G/TBTN24/ARE629.DOCX", "https://docs.wto.org/imrd/directdoc.asp?DDFDocuments/v/G/TBTN24/ARE629.DOCX")</f>
      </c>
    </row>
    <row r="1154">
      <c r="A1154" s="6" t="s">
        <v>226</v>
      </c>
      <c r="B1154" s="7">
        <v>45588</v>
      </c>
      <c r="C1154" s="9">
        <f>HYPERLINK("https://eping.wto.org/en/Search?viewData= G/TBT/N/ARE/631, G/TBT/N/BHR/715, G/TBT/N/KWT/695, G/TBT/N/OMN/539, G/TBT/N/QAT/690, G/TBT/N/SAU/1360, G/TBT/N/YEM/296"," G/TBT/N/ARE/631, G/TBT/N/BHR/715, G/TBT/N/KWT/695, G/TBT/N/OMN/539, G/TBT/N/QAT/690, G/TBT/N/SAU/1360, G/TBT/N/YEM/296")</f>
      </c>
      <c r="D1154" s="8" t="s">
        <v>4077</v>
      </c>
      <c r="E1154" s="8" t="s">
        <v>4078</v>
      </c>
      <c r="F1154" s="8" t="s">
        <v>3777</v>
      </c>
      <c r="G1154" s="8" t="s">
        <v>22</v>
      </c>
      <c r="H1154" s="8" t="s">
        <v>115</v>
      </c>
      <c r="I1154" s="8" t="s">
        <v>760</v>
      </c>
      <c r="J1154" s="8" t="s">
        <v>58</v>
      </c>
      <c r="K1154" s="6"/>
      <c r="L1154" s="7">
        <v>45648</v>
      </c>
      <c r="M1154" s="6" t="s">
        <v>32</v>
      </c>
      <c r="N1154" s="8" t="s">
        <v>4079</v>
      </c>
      <c r="O1154" s="6">
        <f>HYPERLINK("https://docs.wto.org/imrd/directdoc.asp?DDFDocuments/t/G/TBTN24/ARE631.DOCX", "https://docs.wto.org/imrd/directdoc.asp?DDFDocuments/t/G/TBTN24/ARE631.DOCX")</f>
      </c>
      <c r="P1154" s="6">
        <f>HYPERLINK("https://docs.wto.org/imrd/directdoc.asp?DDFDocuments/u/G/TBTN24/ARE631.DOCX", "https://docs.wto.org/imrd/directdoc.asp?DDFDocuments/u/G/TBTN24/ARE631.DOCX")</f>
      </c>
      <c r="Q1154" s="6">
        <f>HYPERLINK("https://docs.wto.org/imrd/directdoc.asp?DDFDocuments/v/G/TBTN24/ARE631.DOCX", "https://docs.wto.org/imrd/directdoc.asp?DDFDocuments/v/G/TBTN24/ARE631.DOCX")</f>
      </c>
    </row>
    <row r="1155">
      <c r="A1155" s="6" t="s">
        <v>68</v>
      </c>
      <c r="B1155" s="7">
        <v>45588</v>
      </c>
      <c r="C1155" s="9">
        <f>HYPERLINK("https://eping.wto.org/en/Search?viewData= G/TBT/N/UGA/1342/Add.1"," G/TBT/N/UGA/1342/Add.1")</f>
      </c>
      <c r="D1155" s="8" t="s">
        <v>4114</v>
      </c>
      <c r="E1155" s="8" t="s">
        <v>4115</v>
      </c>
      <c r="F1155" s="8" t="s">
        <v>4116</v>
      </c>
      <c r="G1155" s="8" t="s">
        <v>4117</v>
      </c>
      <c r="H1155" s="8" t="s">
        <v>2117</v>
      </c>
      <c r="I1155" s="8" t="s">
        <v>3308</v>
      </c>
      <c r="J1155" s="8" t="s">
        <v>81</v>
      </c>
      <c r="K1155" s="6"/>
      <c r="L1155" s="7" t="s">
        <v>22</v>
      </c>
      <c r="M1155" s="6" t="s">
        <v>40</v>
      </c>
      <c r="N1155" s="8" t="s">
        <v>4084</v>
      </c>
      <c r="O1155" s="6">
        <f>HYPERLINK("https://docs.wto.org/imrd/directdoc.asp?DDFDocuments/t/G/TBTN21/UGA1342A1.DOCX", "https://docs.wto.org/imrd/directdoc.asp?DDFDocuments/t/G/TBTN21/UGA1342A1.DOCX")</f>
      </c>
      <c r="P1155" s="6">
        <f>HYPERLINK("https://docs.wto.org/imrd/directdoc.asp?DDFDocuments/u/G/TBTN21/UGA1342A1.DOCX", "https://docs.wto.org/imrd/directdoc.asp?DDFDocuments/u/G/TBTN21/UGA1342A1.DOCX")</f>
      </c>
      <c r="Q1155" s="6">
        <f>HYPERLINK("https://docs.wto.org/imrd/directdoc.asp?DDFDocuments/v/G/TBTN21/UGA1342A1.DOCX", "https://docs.wto.org/imrd/directdoc.asp?DDFDocuments/v/G/TBTN21/UGA1342A1.DOCX")</f>
      </c>
    </row>
    <row r="1156">
      <c r="A1156" s="6" t="s">
        <v>68</v>
      </c>
      <c r="B1156" s="7">
        <v>45588</v>
      </c>
      <c r="C1156" s="9">
        <f>HYPERLINK("https://eping.wto.org/en/Search?viewData= G/TBT/N/BDI/285/Add.2, G/TBT/N/KEN/1319/Add.2, G/TBT/N/RWA/719/Add.2, G/TBT/N/TZA/838/Add.2, G/TBT/N/UGA/1693/Add.2"," G/TBT/N/BDI/285/Add.2, G/TBT/N/KEN/1319/Add.2, G/TBT/N/RWA/719/Add.2, G/TBT/N/TZA/838/Add.2, G/TBT/N/UGA/1693/Add.2")</f>
      </c>
      <c r="D1156" s="8" t="s">
        <v>4095</v>
      </c>
      <c r="E1156" s="8" t="s">
        <v>4096</v>
      </c>
      <c r="F1156" s="8" t="s">
        <v>4067</v>
      </c>
      <c r="G1156" s="8" t="s">
        <v>22</v>
      </c>
      <c r="H1156" s="8" t="s">
        <v>2063</v>
      </c>
      <c r="I1156" s="8" t="s">
        <v>3102</v>
      </c>
      <c r="J1156" s="8" t="s">
        <v>81</v>
      </c>
      <c r="K1156" s="6"/>
      <c r="L1156" s="7" t="s">
        <v>22</v>
      </c>
      <c r="M1156" s="6" t="s">
        <v>40</v>
      </c>
      <c r="N1156" s="6"/>
      <c r="O1156" s="6">
        <f>HYPERLINK("https://docs.wto.org/imrd/directdoc.asp?DDFDocuments/t/G/TBTN22/BDI285A2.DOCX", "https://docs.wto.org/imrd/directdoc.asp?DDFDocuments/t/G/TBTN22/BDI285A2.DOCX")</f>
      </c>
      <c r="P1156" s="6">
        <f>HYPERLINK("https://docs.wto.org/imrd/directdoc.asp?DDFDocuments/u/G/TBTN22/BDI285A2.DOCX", "https://docs.wto.org/imrd/directdoc.asp?DDFDocuments/u/G/TBTN22/BDI285A2.DOCX")</f>
      </c>
      <c r="Q1156" s="6">
        <f>HYPERLINK("https://docs.wto.org/imrd/directdoc.asp?DDFDocuments/v/G/TBTN22/BDI285A2.DOCX", "https://docs.wto.org/imrd/directdoc.asp?DDFDocuments/v/G/TBTN22/BDI285A2.DOCX")</f>
      </c>
    </row>
    <row r="1157">
      <c r="A1157" s="6" t="s">
        <v>170</v>
      </c>
      <c r="B1157" s="7">
        <v>45588</v>
      </c>
      <c r="C1157" s="9">
        <f>HYPERLINK("https://eping.wto.org/en/Search?viewData= G/TBT/N/ARE/541/Add.1, G/TBT/N/BHR/633/Add.1, G/TBT/N/KWT/599/Add.1, G/TBT/N/OMN/469/Add.1, G/TBT/N/QAT/620/Add.1, G/TBT/N/SAU/1248/Add.1, G/TBT/N/YEM/227/Add.1"," G/TBT/N/ARE/541/Add.1, G/TBT/N/BHR/633/Add.1, G/TBT/N/KWT/599/Add.1, G/TBT/N/OMN/469/Add.1, G/TBT/N/QAT/620/Add.1, G/TBT/N/SAU/1248/Add.1, G/TBT/N/YEM/227/Add.1")</f>
      </c>
      <c r="D1157" s="8" t="s">
        <v>3831</v>
      </c>
      <c r="E1157" s="8" t="s">
        <v>4075</v>
      </c>
      <c r="F1157" s="8" t="s">
        <v>3777</v>
      </c>
      <c r="G1157" s="8" t="s">
        <v>22</v>
      </c>
      <c r="H1157" s="8" t="s">
        <v>358</v>
      </c>
      <c r="I1157" s="8" t="s">
        <v>760</v>
      </c>
      <c r="J1157" s="8" t="s">
        <v>81</v>
      </c>
      <c r="K1157" s="6"/>
      <c r="L1157" s="7" t="s">
        <v>22</v>
      </c>
      <c r="M1157" s="6" t="s">
        <v>40</v>
      </c>
      <c r="N1157" s="8" t="s">
        <v>4076</v>
      </c>
      <c r="O1157" s="6">
        <f>HYPERLINK("https://docs.wto.org/imrd/directdoc.asp?DDFDocuments/t/G/TBTN22/ARE541A1.DOCX", "https://docs.wto.org/imrd/directdoc.asp?DDFDocuments/t/G/TBTN22/ARE541A1.DOCX")</f>
      </c>
      <c r="P1157" s="6">
        <f>HYPERLINK("https://docs.wto.org/imrd/directdoc.asp?DDFDocuments/u/G/TBTN22/ARE541A1.DOCX", "https://docs.wto.org/imrd/directdoc.asp?DDFDocuments/u/G/TBTN22/ARE541A1.DOCX")</f>
      </c>
      <c r="Q1157" s="6">
        <f>HYPERLINK("https://docs.wto.org/imrd/directdoc.asp?DDFDocuments/v/G/TBTN22/ARE541A1.DOCX", "https://docs.wto.org/imrd/directdoc.asp?DDFDocuments/v/G/TBTN22/ARE541A1.DOCX")</f>
      </c>
    </row>
    <row r="1158">
      <c r="A1158" s="6" t="s">
        <v>49</v>
      </c>
      <c r="B1158" s="7">
        <v>45588</v>
      </c>
      <c r="C1158" s="9">
        <f>HYPERLINK("https://eping.wto.org/en/Search?viewData= G/TBT/N/BDI/250/Add.1, G/TBT/N/KEN/1271/Add.1, G/TBT/N/RWA/680/Add.1, G/TBT/N/TZA/804/Add.1, G/TBT/N/UGA/1652/Add.1"," G/TBT/N/BDI/250/Add.1, G/TBT/N/KEN/1271/Add.1, G/TBT/N/RWA/680/Add.1, G/TBT/N/TZA/804/Add.1, G/TBT/N/UGA/1652/Add.1")</f>
      </c>
      <c r="D1158" s="8" t="s">
        <v>4061</v>
      </c>
      <c r="E1158" s="8" t="s">
        <v>4062</v>
      </c>
      <c r="F1158" s="8" t="s">
        <v>4063</v>
      </c>
      <c r="G1158" s="8" t="s">
        <v>2062</v>
      </c>
      <c r="H1158" s="8" t="s">
        <v>2063</v>
      </c>
      <c r="I1158" s="8" t="s">
        <v>4064</v>
      </c>
      <c r="J1158" s="8" t="s">
        <v>812</v>
      </c>
      <c r="K1158" s="6"/>
      <c r="L1158" s="7" t="s">
        <v>22</v>
      </c>
      <c r="M1158" s="6" t="s">
        <v>40</v>
      </c>
      <c r="N1158" s="6"/>
      <c r="O1158" s="6">
        <f>HYPERLINK("https://docs.wto.org/imrd/directdoc.asp?DDFDocuments/t/G/TBTN22/BDI250A1.DOCX", "https://docs.wto.org/imrd/directdoc.asp?DDFDocuments/t/G/TBTN22/BDI250A1.DOCX")</f>
      </c>
      <c r="P1158" s="6">
        <f>HYPERLINK("https://docs.wto.org/imrd/directdoc.asp?DDFDocuments/u/G/TBTN22/BDI250A1.DOCX", "https://docs.wto.org/imrd/directdoc.asp?DDFDocuments/u/G/TBTN22/BDI250A1.DOCX")</f>
      </c>
      <c r="Q1158" s="6">
        <f>HYPERLINK("https://docs.wto.org/imrd/directdoc.asp?DDFDocuments/v/G/TBTN22/BDI250A1.DOCX", "https://docs.wto.org/imrd/directdoc.asp?DDFDocuments/v/G/TBTN22/BDI250A1.DOCX")</f>
      </c>
    </row>
    <row r="1159">
      <c r="A1159" s="6" t="s">
        <v>226</v>
      </c>
      <c r="B1159" s="7">
        <v>45588</v>
      </c>
      <c r="C1159" s="9">
        <f>HYPERLINK("https://eping.wto.org/en/Search?viewData= G/TBT/N/ARE/541/Add.1, G/TBT/N/BHR/633/Add.1, G/TBT/N/KWT/599/Add.1, G/TBT/N/OMN/469/Add.1, G/TBT/N/QAT/620/Add.1, G/TBT/N/SAU/1248/Add.1, G/TBT/N/YEM/227/Add.1"," G/TBT/N/ARE/541/Add.1, G/TBT/N/BHR/633/Add.1, G/TBT/N/KWT/599/Add.1, G/TBT/N/OMN/469/Add.1, G/TBT/N/QAT/620/Add.1, G/TBT/N/SAU/1248/Add.1, G/TBT/N/YEM/227/Add.1")</f>
      </c>
      <c r="D1159" s="8" t="s">
        <v>3831</v>
      </c>
      <c r="E1159" s="8" t="s">
        <v>4075</v>
      </c>
      <c r="F1159" s="8" t="s">
        <v>3777</v>
      </c>
      <c r="G1159" s="8" t="s">
        <v>22</v>
      </c>
      <c r="H1159" s="8" t="s">
        <v>358</v>
      </c>
      <c r="I1159" s="8" t="s">
        <v>760</v>
      </c>
      <c r="J1159" s="8" t="s">
        <v>81</v>
      </c>
      <c r="K1159" s="6"/>
      <c r="L1159" s="7" t="s">
        <v>22</v>
      </c>
      <c r="M1159" s="6" t="s">
        <v>40</v>
      </c>
      <c r="N1159" s="8" t="s">
        <v>4076</v>
      </c>
      <c r="O1159" s="6">
        <f>HYPERLINK("https://docs.wto.org/imrd/directdoc.asp?DDFDocuments/t/G/TBTN22/ARE541A1.DOCX", "https://docs.wto.org/imrd/directdoc.asp?DDFDocuments/t/G/TBTN22/ARE541A1.DOCX")</f>
      </c>
      <c r="P1159" s="6">
        <f>HYPERLINK("https://docs.wto.org/imrd/directdoc.asp?DDFDocuments/u/G/TBTN22/ARE541A1.DOCX", "https://docs.wto.org/imrd/directdoc.asp?DDFDocuments/u/G/TBTN22/ARE541A1.DOCX")</f>
      </c>
      <c r="Q1159" s="6">
        <f>HYPERLINK("https://docs.wto.org/imrd/directdoc.asp?DDFDocuments/v/G/TBTN22/ARE541A1.DOCX", "https://docs.wto.org/imrd/directdoc.asp?DDFDocuments/v/G/TBTN22/ARE541A1.DOCX")</f>
      </c>
    </row>
    <row r="1160">
      <c r="A1160" s="6" t="s">
        <v>170</v>
      </c>
      <c r="B1160" s="7">
        <v>45588</v>
      </c>
      <c r="C1160" s="9">
        <f>HYPERLINK("https://eping.wto.org/en/Search?viewData= G/TBT/N/ARE/630, G/TBT/N/BHR/714, G/TBT/N/KWT/694, G/TBT/N/OMN/538, G/TBT/N/QAT/689, G/TBT/N/SAU/1359, G/TBT/N/YEM/295"," G/TBT/N/ARE/630, G/TBT/N/BHR/714, G/TBT/N/KWT/694, G/TBT/N/OMN/538, G/TBT/N/QAT/689, G/TBT/N/SAU/1359, G/TBT/N/YEM/295")</f>
      </c>
      <c r="D1160" s="8" t="s">
        <v>4043</v>
      </c>
      <c r="E1160" s="8" t="s">
        <v>4044</v>
      </c>
      <c r="F1160" s="8" t="s">
        <v>3777</v>
      </c>
      <c r="G1160" s="8" t="s">
        <v>22</v>
      </c>
      <c r="H1160" s="8" t="s">
        <v>115</v>
      </c>
      <c r="I1160" s="8" t="s">
        <v>760</v>
      </c>
      <c r="J1160" s="8" t="s">
        <v>558</v>
      </c>
      <c r="K1160" s="6"/>
      <c r="L1160" s="7">
        <v>45648</v>
      </c>
      <c r="M1160" s="6" t="s">
        <v>32</v>
      </c>
      <c r="N1160" s="8" t="s">
        <v>4045</v>
      </c>
      <c r="O1160" s="6">
        <f>HYPERLINK("https://docs.wto.org/imrd/directdoc.asp?DDFDocuments/t/G/TBTN24/ARE630.DOCX", "https://docs.wto.org/imrd/directdoc.asp?DDFDocuments/t/G/TBTN24/ARE630.DOCX")</f>
      </c>
      <c r="P1160" s="6">
        <f>HYPERLINK("https://docs.wto.org/imrd/directdoc.asp?DDFDocuments/u/G/TBTN24/ARE630.DOCX", "https://docs.wto.org/imrd/directdoc.asp?DDFDocuments/u/G/TBTN24/ARE630.DOCX")</f>
      </c>
      <c r="Q1160" s="6">
        <f>HYPERLINK("https://docs.wto.org/imrd/directdoc.asp?DDFDocuments/v/G/TBTN24/ARE630.DOCX", "https://docs.wto.org/imrd/directdoc.asp?DDFDocuments/v/G/TBTN24/ARE630.DOCX")</f>
      </c>
    </row>
    <row r="1161">
      <c r="A1161" s="6" t="s">
        <v>3255</v>
      </c>
      <c r="B1161" s="7">
        <v>45588</v>
      </c>
      <c r="C1161" s="9">
        <f>HYPERLINK("https://eping.wto.org/en/Search?viewData= G/TBT/N/ARE/630, G/TBT/N/BHR/714, G/TBT/N/KWT/694, G/TBT/N/OMN/538, G/TBT/N/QAT/689, G/TBT/N/SAU/1359, G/TBT/N/YEM/295"," G/TBT/N/ARE/630, G/TBT/N/BHR/714, G/TBT/N/KWT/694, G/TBT/N/OMN/538, G/TBT/N/QAT/689, G/TBT/N/SAU/1359, G/TBT/N/YEM/295")</f>
      </c>
      <c r="D1161" s="8" t="s">
        <v>4043</v>
      </c>
      <c r="E1161" s="8" t="s">
        <v>4044</v>
      </c>
      <c r="F1161" s="8" t="s">
        <v>3777</v>
      </c>
      <c r="G1161" s="8" t="s">
        <v>22</v>
      </c>
      <c r="H1161" s="8" t="s">
        <v>115</v>
      </c>
      <c r="I1161" s="8" t="s">
        <v>760</v>
      </c>
      <c r="J1161" s="8" t="s">
        <v>558</v>
      </c>
      <c r="K1161" s="6"/>
      <c r="L1161" s="7">
        <v>45648</v>
      </c>
      <c r="M1161" s="6" t="s">
        <v>32</v>
      </c>
      <c r="N1161" s="8" t="s">
        <v>4045</v>
      </c>
      <c r="O1161" s="6">
        <f>HYPERLINK("https://docs.wto.org/imrd/directdoc.asp?DDFDocuments/t/G/TBTN24/ARE630.DOCX", "https://docs.wto.org/imrd/directdoc.asp?DDFDocuments/t/G/TBTN24/ARE630.DOCX")</f>
      </c>
      <c r="P1161" s="6">
        <f>HYPERLINK("https://docs.wto.org/imrd/directdoc.asp?DDFDocuments/u/G/TBTN24/ARE630.DOCX", "https://docs.wto.org/imrd/directdoc.asp?DDFDocuments/u/G/TBTN24/ARE630.DOCX")</f>
      </c>
      <c r="Q1161" s="6">
        <f>HYPERLINK("https://docs.wto.org/imrd/directdoc.asp?DDFDocuments/v/G/TBTN24/ARE630.DOCX", "https://docs.wto.org/imrd/directdoc.asp?DDFDocuments/v/G/TBTN24/ARE630.DOCX")</f>
      </c>
    </row>
    <row r="1162">
      <c r="A1162" s="6" t="s">
        <v>299</v>
      </c>
      <c r="B1162" s="7">
        <v>45588</v>
      </c>
      <c r="C1162" s="9">
        <f>HYPERLINK("https://eping.wto.org/en/Search?viewData= G/TBT/N/NZL/133/Add.1"," G/TBT/N/NZL/133/Add.1")</f>
      </c>
      <c r="D1162" s="8" t="s">
        <v>4118</v>
      </c>
      <c r="E1162" s="8" t="s">
        <v>4119</v>
      </c>
      <c r="F1162" s="8" t="s">
        <v>4120</v>
      </c>
      <c r="G1162" s="8" t="s">
        <v>22</v>
      </c>
      <c r="H1162" s="8" t="s">
        <v>4121</v>
      </c>
      <c r="I1162" s="8" t="s">
        <v>4122</v>
      </c>
      <c r="J1162" s="8" t="s">
        <v>22</v>
      </c>
      <c r="K1162" s="6"/>
      <c r="L1162" s="7" t="s">
        <v>22</v>
      </c>
      <c r="M1162" s="6" t="s">
        <v>40</v>
      </c>
      <c r="N1162" s="8" t="s">
        <v>4123</v>
      </c>
      <c r="O1162" s="6">
        <f>HYPERLINK("https://docs.wto.org/imrd/directdoc.asp?DDFDocuments/t/G/TBTN24/NZL133A1.DOCX", "https://docs.wto.org/imrd/directdoc.asp?DDFDocuments/t/G/TBTN24/NZL133A1.DOCX")</f>
      </c>
      <c r="P1162" s="6">
        <f>HYPERLINK("https://docs.wto.org/imrd/directdoc.asp?DDFDocuments/u/G/TBTN24/NZL133A1.DOCX", "https://docs.wto.org/imrd/directdoc.asp?DDFDocuments/u/G/TBTN24/NZL133A1.DOCX")</f>
      </c>
      <c r="Q1162" s="6">
        <f>HYPERLINK("https://docs.wto.org/imrd/directdoc.asp?DDFDocuments/v/G/TBTN24/NZL133A1.DOCX", "https://docs.wto.org/imrd/directdoc.asp?DDFDocuments/v/G/TBTN24/NZL133A1.DOCX")</f>
      </c>
    </row>
    <row r="1163">
      <c r="A1163" s="6" t="s">
        <v>1982</v>
      </c>
      <c r="B1163" s="7">
        <v>45588</v>
      </c>
      <c r="C1163" s="9">
        <f>HYPERLINK("https://eping.wto.org/en/Search?viewData= G/TBT/N/ARE/451/Add.1, G/TBT/N/BHR/555/Add.1, G/TBT/N/KWT/442/Add.1, G/TBT/N/OMN/388/Add.1, G/TBT/N/QAT/553/Add.1, G/TBT/N/SAU/1095/Add.1, G/TBT/N/YEM/156/Add.1"," G/TBT/N/ARE/451/Add.1, G/TBT/N/BHR/555/Add.1, G/TBT/N/KWT/442/Add.1, G/TBT/N/OMN/388/Add.1, G/TBT/N/QAT/553/Add.1, G/TBT/N/SAU/1095/Add.1, G/TBT/N/YEM/156/Add.1")</f>
      </c>
      <c r="D1163" s="8" t="s">
        <v>3819</v>
      </c>
      <c r="E1163" s="8" t="s">
        <v>4085</v>
      </c>
      <c r="F1163" s="8" t="s">
        <v>3777</v>
      </c>
      <c r="G1163" s="8" t="s">
        <v>3821</v>
      </c>
      <c r="H1163" s="8" t="s">
        <v>3836</v>
      </c>
      <c r="I1163" s="8" t="s">
        <v>88</v>
      </c>
      <c r="J1163" s="8" t="s">
        <v>4086</v>
      </c>
      <c r="K1163" s="6"/>
      <c r="L1163" s="7" t="s">
        <v>22</v>
      </c>
      <c r="M1163" s="6" t="s">
        <v>40</v>
      </c>
      <c r="N1163" s="8" t="s">
        <v>4087</v>
      </c>
      <c r="O1163" s="6">
        <f>HYPERLINK("https://docs.wto.org/imrd/directdoc.asp?DDFDocuments/t/G/TBTN18/ARE451A1.DOCX", "https://docs.wto.org/imrd/directdoc.asp?DDFDocuments/t/G/TBTN18/ARE451A1.DOCX")</f>
      </c>
      <c r="P1163" s="6">
        <f>HYPERLINK("https://docs.wto.org/imrd/directdoc.asp?DDFDocuments/u/G/TBTN18/ARE451A1.DOCX", "https://docs.wto.org/imrd/directdoc.asp?DDFDocuments/u/G/TBTN18/ARE451A1.DOCX")</f>
      </c>
      <c r="Q1163" s="6">
        <f>HYPERLINK("https://docs.wto.org/imrd/directdoc.asp?DDFDocuments/v/G/TBTN18/ARE451A1.DOCX", "https://docs.wto.org/imrd/directdoc.asp?DDFDocuments/v/G/TBTN18/ARE451A1.DOCX")</f>
      </c>
    </row>
    <row r="1164">
      <c r="A1164" s="6" t="s">
        <v>1982</v>
      </c>
      <c r="B1164" s="7">
        <v>45588</v>
      </c>
      <c r="C1164" s="9">
        <f>HYPERLINK("https://eping.wto.org/en/Search?viewData= G/TBT/N/ARE/630, G/TBT/N/BHR/714, G/TBT/N/KWT/694, G/TBT/N/OMN/538, G/TBT/N/QAT/689, G/TBT/N/SAU/1359, G/TBT/N/YEM/295"," G/TBT/N/ARE/630, G/TBT/N/BHR/714, G/TBT/N/KWT/694, G/TBT/N/OMN/538, G/TBT/N/QAT/689, G/TBT/N/SAU/1359, G/TBT/N/YEM/295")</f>
      </c>
      <c r="D1164" s="8" t="s">
        <v>4043</v>
      </c>
      <c r="E1164" s="8" t="s">
        <v>4044</v>
      </c>
      <c r="F1164" s="8" t="s">
        <v>3777</v>
      </c>
      <c r="G1164" s="8" t="s">
        <v>22</v>
      </c>
      <c r="H1164" s="8" t="s">
        <v>115</v>
      </c>
      <c r="I1164" s="8" t="s">
        <v>760</v>
      </c>
      <c r="J1164" s="8" t="s">
        <v>558</v>
      </c>
      <c r="K1164" s="6"/>
      <c r="L1164" s="7">
        <v>45648</v>
      </c>
      <c r="M1164" s="6" t="s">
        <v>32</v>
      </c>
      <c r="N1164" s="8" t="s">
        <v>4045</v>
      </c>
      <c r="O1164" s="6">
        <f>HYPERLINK("https://docs.wto.org/imrd/directdoc.asp?DDFDocuments/t/G/TBTN24/ARE630.DOCX", "https://docs.wto.org/imrd/directdoc.asp?DDFDocuments/t/G/TBTN24/ARE630.DOCX")</f>
      </c>
      <c r="P1164" s="6">
        <f>HYPERLINK("https://docs.wto.org/imrd/directdoc.asp?DDFDocuments/u/G/TBTN24/ARE630.DOCX", "https://docs.wto.org/imrd/directdoc.asp?DDFDocuments/u/G/TBTN24/ARE630.DOCX")</f>
      </c>
      <c r="Q1164" s="6">
        <f>HYPERLINK("https://docs.wto.org/imrd/directdoc.asp?DDFDocuments/v/G/TBTN24/ARE630.DOCX", "https://docs.wto.org/imrd/directdoc.asp?DDFDocuments/v/G/TBTN24/ARE630.DOCX")</f>
      </c>
    </row>
    <row r="1165">
      <c r="A1165" s="6" t="s">
        <v>82</v>
      </c>
      <c r="B1165" s="7">
        <v>45588</v>
      </c>
      <c r="C1165" s="9">
        <f>HYPERLINK("https://eping.wto.org/en/Search?viewData= G/SPS/N/BRA/2353"," G/SPS/N/BRA/2353")</f>
      </c>
      <c r="D1165" s="8" t="s">
        <v>4124</v>
      </c>
      <c r="E1165" s="8" t="s">
        <v>4125</v>
      </c>
      <c r="F1165" s="8" t="s">
        <v>4126</v>
      </c>
      <c r="G1165" s="8" t="s">
        <v>22</v>
      </c>
      <c r="H1165" s="8" t="s">
        <v>22</v>
      </c>
      <c r="I1165" s="8" t="s">
        <v>390</v>
      </c>
      <c r="J1165" s="8" t="s">
        <v>391</v>
      </c>
      <c r="K1165" s="6" t="s">
        <v>22</v>
      </c>
      <c r="L1165" s="7">
        <v>45648</v>
      </c>
      <c r="M1165" s="6" t="s">
        <v>32</v>
      </c>
      <c r="N1165" s="8" t="s">
        <v>4127</v>
      </c>
      <c r="O1165" s="6">
        <f>HYPERLINK("https://docs.wto.org/imrd/directdoc.asp?DDFDocuments/t/G/SPS/NBRA2353.DOCX", "https://docs.wto.org/imrd/directdoc.asp?DDFDocuments/t/G/SPS/NBRA2353.DOCX")</f>
      </c>
      <c r="P1165" s="6">
        <f>HYPERLINK("https://docs.wto.org/imrd/directdoc.asp?DDFDocuments/u/G/SPS/NBRA2353.DOCX", "https://docs.wto.org/imrd/directdoc.asp?DDFDocuments/u/G/SPS/NBRA2353.DOCX")</f>
      </c>
      <c r="Q1165" s="6">
        <f>HYPERLINK("https://docs.wto.org/imrd/directdoc.asp?DDFDocuments/v/G/SPS/NBRA2353.DOCX", "https://docs.wto.org/imrd/directdoc.asp?DDFDocuments/v/G/SPS/NBRA2353.DOCX")</f>
      </c>
    </row>
    <row r="1166">
      <c r="A1166" s="6" t="s">
        <v>53</v>
      </c>
      <c r="B1166" s="7">
        <v>45588</v>
      </c>
      <c r="C1166" s="9">
        <f>HYPERLINK("https://eping.wto.org/en/Search?viewData= G/TBT/N/BDI/287/Add.2, G/TBT/N/KEN/1321/Add.2, G/TBT/N/RWA/721/Add.2, G/TBT/N/TZA/840/Add.2, G/TBT/N/UGA/1695/Add.2"," G/TBT/N/BDI/287/Add.2, G/TBT/N/KEN/1321/Add.2, G/TBT/N/RWA/721/Add.2, G/TBT/N/TZA/840/Add.2, G/TBT/N/UGA/1695/Add.2")</f>
      </c>
      <c r="D1166" s="8" t="s">
        <v>2103</v>
      </c>
      <c r="E1166" s="8" t="s">
        <v>4070</v>
      </c>
      <c r="F1166" s="8" t="s">
        <v>2105</v>
      </c>
      <c r="G1166" s="8" t="s">
        <v>2106</v>
      </c>
      <c r="H1166" s="8" t="s">
        <v>2107</v>
      </c>
      <c r="I1166" s="8" t="s">
        <v>4071</v>
      </c>
      <c r="J1166" s="8" t="s">
        <v>812</v>
      </c>
      <c r="K1166" s="6"/>
      <c r="L1166" s="7" t="s">
        <v>22</v>
      </c>
      <c r="M1166" s="6" t="s">
        <v>40</v>
      </c>
      <c r="N1166" s="6"/>
      <c r="O1166" s="6">
        <f>HYPERLINK("https://docs.wto.org/imrd/directdoc.asp?DDFDocuments/t/G/TBTN22/BDI287A2.DOCX", "https://docs.wto.org/imrd/directdoc.asp?DDFDocuments/t/G/TBTN22/BDI287A2.DOCX")</f>
      </c>
      <c r="P1166" s="6">
        <f>HYPERLINK("https://docs.wto.org/imrd/directdoc.asp?DDFDocuments/u/G/TBTN22/BDI287A2.DOCX", "https://docs.wto.org/imrd/directdoc.asp?DDFDocuments/u/G/TBTN22/BDI287A2.DOCX")</f>
      </c>
      <c r="Q1166" s="6">
        <f>HYPERLINK("https://docs.wto.org/imrd/directdoc.asp?DDFDocuments/v/G/TBTN22/BDI287A2.DOCX", "https://docs.wto.org/imrd/directdoc.asp?DDFDocuments/v/G/TBTN22/BDI287A2.DOCX")</f>
      </c>
    </row>
    <row r="1167">
      <c r="A1167" s="6" t="s">
        <v>49</v>
      </c>
      <c r="B1167" s="7">
        <v>45588</v>
      </c>
      <c r="C1167" s="9">
        <f>HYPERLINK("https://eping.wto.org/en/Search?viewData= G/TBT/N/BDI/286/Add.2, G/TBT/N/KEN/1320/Add.2, G/TBT/N/RWA/720/Add.2, G/TBT/N/TZA/839/Add.2, G/TBT/N/UGA/1694/Add.2"," G/TBT/N/BDI/286/Add.2, G/TBT/N/KEN/1320/Add.2, G/TBT/N/RWA/720/Add.2, G/TBT/N/TZA/839/Add.2, G/TBT/N/UGA/1694/Add.2")</f>
      </c>
      <c r="D1167" s="8" t="s">
        <v>2113</v>
      </c>
      <c r="E1167" s="8" t="s">
        <v>4072</v>
      </c>
      <c r="F1167" s="8" t="s">
        <v>4073</v>
      </c>
      <c r="G1167" s="8" t="s">
        <v>2116</v>
      </c>
      <c r="H1167" s="8" t="s">
        <v>4074</v>
      </c>
      <c r="I1167" s="8" t="s">
        <v>4071</v>
      </c>
      <c r="J1167" s="8" t="s">
        <v>812</v>
      </c>
      <c r="K1167" s="6"/>
      <c r="L1167" s="7" t="s">
        <v>22</v>
      </c>
      <c r="M1167" s="6" t="s">
        <v>40</v>
      </c>
      <c r="N1167" s="6"/>
      <c r="O1167" s="6">
        <f>HYPERLINK("https://docs.wto.org/imrd/directdoc.asp?DDFDocuments/t/G/TBTN22/BDI286A2.DOCX", "https://docs.wto.org/imrd/directdoc.asp?DDFDocuments/t/G/TBTN22/BDI286A2.DOCX")</f>
      </c>
      <c r="P1167" s="6">
        <f>HYPERLINK("https://docs.wto.org/imrd/directdoc.asp?DDFDocuments/u/G/TBTN22/BDI286A2.DOCX", "https://docs.wto.org/imrd/directdoc.asp?DDFDocuments/u/G/TBTN22/BDI286A2.DOCX")</f>
      </c>
      <c r="Q1167" s="6">
        <f>HYPERLINK("https://docs.wto.org/imrd/directdoc.asp?DDFDocuments/v/G/TBTN22/BDI286A2.DOCX", "https://docs.wto.org/imrd/directdoc.asp?DDFDocuments/v/G/TBTN22/BDI286A2.DOCX")</f>
      </c>
    </row>
    <row r="1168">
      <c r="A1168" s="6" t="s">
        <v>53</v>
      </c>
      <c r="B1168" s="7">
        <v>45588</v>
      </c>
      <c r="C1168" s="9">
        <f>HYPERLINK("https://eping.wto.org/en/Search?viewData= G/TBT/N/BDI/308/Add.2, G/TBT/N/KEN/1354/Add.2, G/TBT/N/RWA/749/Add.2, G/TBT/N/TZA/872/Add.2, G/TBT/N/UGA/1719/Add.2"," G/TBT/N/BDI/308/Add.2, G/TBT/N/KEN/1354/Add.2, G/TBT/N/RWA/749/Add.2, G/TBT/N/TZA/872/Add.2, G/TBT/N/UGA/1719/Add.2")</f>
      </c>
      <c r="D1168" s="8" t="s">
        <v>2083</v>
      </c>
      <c r="E1168" s="8" t="s">
        <v>4101</v>
      </c>
      <c r="F1168" s="8" t="s">
        <v>2085</v>
      </c>
      <c r="G1168" s="8" t="s">
        <v>2086</v>
      </c>
      <c r="H1168" s="8" t="s">
        <v>79</v>
      </c>
      <c r="I1168" s="8" t="s">
        <v>4109</v>
      </c>
      <c r="J1168" s="8" t="s">
        <v>812</v>
      </c>
      <c r="K1168" s="6"/>
      <c r="L1168" s="7" t="s">
        <v>22</v>
      </c>
      <c r="M1168" s="6" t="s">
        <v>40</v>
      </c>
      <c r="N1168" s="6"/>
      <c r="O1168" s="6">
        <f>HYPERLINK("https://docs.wto.org/imrd/directdoc.asp?DDFDocuments/t/G/TBTN22/BDI308A2.DOCX", "https://docs.wto.org/imrd/directdoc.asp?DDFDocuments/t/G/TBTN22/BDI308A2.DOCX")</f>
      </c>
      <c r="P1168" s="6">
        <f>HYPERLINK("https://docs.wto.org/imrd/directdoc.asp?DDFDocuments/u/G/TBTN22/BDI308A2.DOCX", "https://docs.wto.org/imrd/directdoc.asp?DDFDocuments/u/G/TBTN22/BDI308A2.DOCX")</f>
      </c>
      <c r="Q1168" s="6">
        <f>HYPERLINK("https://docs.wto.org/imrd/directdoc.asp?DDFDocuments/v/G/TBTN22/BDI308A2.DOCX", "https://docs.wto.org/imrd/directdoc.asp?DDFDocuments/v/G/TBTN22/BDI308A2.DOCX")</f>
      </c>
    </row>
    <row r="1169">
      <c r="A1169" s="6" t="s">
        <v>646</v>
      </c>
      <c r="B1169" s="7">
        <v>45588</v>
      </c>
      <c r="C1169" s="9">
        <f>HYPERLINK("https://eping.wto.org/en/Search?viewData= G/SPS/N/COL/371"," G/SPS/N/COL/371")</f>
      </c>
      <c r="D1169" s="8" t="s">
        <v>4128</v>
      </c>
      <c r="E1169" s="8" t="s">
        <v>4129</v>
      </c>
      <c r="F1169" s="8" t="s">
        <v>689</v>
      </c>
      <c r="G1169" s="8" t="s">
        <v>2513</v>
      </c>
      <c r="H1169" s="8" t="s">
        <v>22</v>
      </c>
      <c r="I1169" s="8" t="s">
        <v>390</v>
      </c>
      <c r="J1169" s="8" t="s">
        <v>391</v>
      </c>
      <c r="K1169" s="6" t="s">
        <v>4130</v>
      </c>
      <c r="L1169" s="7">
        <v>45648</v>
      </c>
      <c r="M1169" s="6" t="s">
        <v>32</v>
      </c>
      <c r="N1169" s="8" t="s">
        <v>4131</v>
      </c>
      <c r="O1169" s="6">
        <f>HYPERLINK("https://docs.wto.org/imrd/directdoc.asp?DDFDocuments/t/G/SPS/NCOL371.DOCX", "https://docs.wto.org/imrd/directdoc.asp?DDFDocuments/t/G/SPS/NCOL371.DOCX")</f>
      </c>
      <c r="P1169" s="6">
        <f>HYPERLINK("https://docs.wto.org/imrd/directdoc.asp?DDFDocuments/u/G/SPS/NCOL371.DOCX", "https://docs.wto.org/imrd/directdoc.asp?DDFDocuments/u/G/SPS/NCOL371.DOCX")</f>
      </c>
      <c r="Q1169" s="6">
        <f>HYPERLINK("https://docs.wto.org/imrd/directdoc.asp?DDFDocuments/v/G/SPS/NCOL371.DOCX", "https://docs.wto.org/imrd/directdoc.asp?DDFDocuments/v/G/SPS/NCOL371.DOCX")</f>
      </c>
    </row>
    <row r="1170">
      <c r="A1170" s="6" t="s">
        <v>646</v>
      </c>
      <c r="B1170" s="7">
        <v>45588</v>
      </c>
      <c r="C1170" s="9">
        <f>HYPERLINK("https://eping.wto.org/en/Search?viewData= G/SPS/N/COL/370"," G/SPS/N/COL/370")</f>
      </c>
      <c r="D1170" s="8" t="s">
        <v>4132</v>
      </c>
      <c r="E1170" s="8" t="s">
        <v>4133</v>
      </c>
      <c r="F1170" s="8" t="s">
        <v>4134</v>
      </c>
      <c r="G1170" s="8" t="s">
        <v>2513</v>
      </c>
      <c r="H1170" s="8" t="s">
        <v>22</v>
      </c>
      <c r="I1170" s="8" t="s">
        <v>390</v>
      </c>
      <c r="J1170" s="8" t="s">
        <v>492</v>
      </c>
      <c r="K1170" s="6" t="s">
        <v>513</v>
      </c>
      <c r="L1170" s="7">
        <v>45648</v>
      </c>
      <c r="M1170" s="6" t="s">
        <v>32</v>
      </c>
      <c r="N1170" s="8" t="s">
        <v>4135</v>
      </c>
      <c r="O1170" s="6">
        <f>HYPERLINK("https://docs.wto.org/imrd/directdoc.asp?DDFDocuments/t/G/SPS/NCOL370.DOCX", "https://docs.wto.org/imrd/directdoc.asp?DDFDocuments/t/G/SPS/NCOL370.DOCX")</f>
      </c>
      <c r="P1170" s="6">
        <f>HYPERLINK("https://docs.wto.org/imrd/directdoc.asp?DDFDocuments/u/G/SPS/NCOL370.DOCX", "https://docs.wto.org/imrd/directdoc.asp?DDFDocuments/u/G/SPS/NCOL370.DOCX")</f>
      </c>
      <c r="Q1170" s="6">
        <f>HYPERLINK("https://docs.wto.org/imrd/directdoc.asp?DDFDocuments/v/G/SPS/NCOL370.DOCX", "https://docs.wto.org/imrd/directdoc.asp?DDFDocuments/v/G/SPS/NCOL370.DOCX")</f>
      </c>
    </row>
    <row r="1171">
      <c r="A1171" s="6" t="s">
        <v>3271</v>
      </c>
      <c r="B1171" s="7">
        <v>45588</v>
      </c>
      <c r="C1171" s="9">
        <f>HYPERLINK("https://eping.wto.org/en/Search?viewData= G/TBT/N/ARE/629, G/TBT/N/BHR/713, G/TBT/N/KWT/693, G/TBT/N/OMN/537, G/TBT/N/QAT/688, G/TBT/N/SAU/1358, G/TBT/N/YEM/294"," G/TBT/N/ARE/629, G/TBT/N/BHR/713, G/TBT/N/KWT/693, G/TBT/N/OMN/537, G/TBT/N/QAT/688, G/TBT/N/SAU/1358, G/TBT/N/YEM/294")</f>
      </c>
      <c r="D1171" s="8" t="s">
        <v>4106</v>
      </c>
      <c r="E1171" s="8" t="s">
        <v>4107</v>
      </c>
      <c r="F1171" s="8" t="s">
        <v>4052</v>
      </c>
      <c r="G1171" s="8" t="s">
        <v>22</v>
      </c>
      <c r="H1171" s="8" t="s">
        <v>4053</v>
      </c>
      <c r="I1171" s="8" t="s">
        <v>2475</v>
      </c>
      <c r="J1171" s="8" t="s">
        <v>22</v>
      </c>
      <c r="K1171" s="6"/>
      <c r="L1171" s="7">
        <v>45648</v>
      </c>
      <c r="M1171" s="6" t="s">
        <v>32</v>
      </c>
      <c r="N1171" s="8" t="s">
        <v>4108</v>
      </c>
      <c r="O1171" s="6">
        <f>HYPERLINK("https://docs.wto.org/imrd/directdoc.asp?DDFDocuments/t/G/TBTN24/ARE629.DOCX", "https://docs.wto.org/imrd/directdoc.asp?DDFDocuments/t/G/TBTN24/ARE629.DOCX")</f>
      </c>
      <c r="P1171" s="6">
        <f>HYPERLINK("https://docs.wto.org/imrd/directdoc.asp?DDFDocuments/u/G/TBTN24/ARE629.DOCX", "https://docs.wto.org/imrd/directdoc.asp?DDFDocuments/u/G/TBTN24/ARE629.DOCX")</f>
      </c>
      <c r="Q1171" s="6">
        <f>HYPERLINK("https://docs.wto.org/imrd/directdoc.asp?DDFDocuments/v/G/TBTN24/ARE629.DOCX", "https://docs.wto.org/imrd/directdoc.asp?DDFDocuments/v/G/TBTN24/ARE629.DOCX")</f>
      </c>
    </row>
    <row r="1172">
      <c r="A1172" s="6" t="s">
        <v>976</v>
      </c>
      <c r="B1172" s="7">
        <v>45588</v>
      </c>
      <c r="C1172" s="9">
        <f>HYPERLINK("https://eping.wto.org/en/Search?viewData= G/TBT/N/ARE/629, G/TBT/N/BHR/713, G/TBT/N/KWT/693, G/TBT/N/OMN/537, G/TBT/N/QAT/688, G/TBT/N/SAU/1358, G/TBT/N/YEM/294"," G/TBT/N/ARE/629, G/TBT/N/BHR/713, G/TBT/N/KWT/693, G/TBT/N/OMN/537, G/TBT/N/QAT/688, G/TBT/N/SAU/1358, G/TBT/N/YEM/294")</f>
      </c>
      <c r="D1172" s="8" t="s">
        <v>4106</v>
      </c>
      <c r="E1172" s="8" t="s">
        <v>4107</v>
      </c>
      <c r="F1172" s="8" t="s">
        <v>4052</v>
      </c>
      <c r="G1172" s="8" t="s">
        <v>22</v>
      </c>
      <c r="H1172" s="8" t="s">
        <v>4053</v>
      </c>
      <c r="I1172" s="8" t="s">
        <v>2475</v>
      </c>
      <c r="J1172" s="8" t="s">
        <v>22</v>
      </c>
      <c r="K1172" s="6"/>
      <c r="L1172" s="7">
        <v>45648</v>
      </c>
      <c r="M1172" s="6" t="s">
        <v>32</v>
      </c>
      <c r="N1172" s="8" t="s">
        <v>4108</v>
      </c>
      <c r="O1172" s="6">
        <f>HYPERLINK("https://docs.wto.org/imrd/directdoc.asp?DDFDocuments/t/G/TBTN24/ARE629.DOCX", "https://docs.wto.org/imrd/directdoc.asp?DDFDocuments/t/G/TBTN24/ARE629.DOCX")</f>
      </c>
      <c r="P1172" s="6">
        <f>HYPERLINK("https://docs.wto.org/imrd/directdoc.asp?DDFDocuments/u/G/TBTN24/ARE629.DOCX", "https://docs.wto.org/imrd/directdoc.asp?DDFDocuments/u/G/TBTN24/ARE629.DOCX")</f>
      </c>
      <c r="Q1172" s="6">
        <f>HYPERLINK("https://docs.wto.org/imrd/directdoc.asp?DDFDocuments/v/G/TBTN24/ARE629.DOCX", "https://docs.wto.org/imrd/directdoc.asp?DDFDocuments/v/G/TBTN24/ARE629.DOCX")</f>
      </c>
    </row>
    <row r="1173">
      <c r="A1173" s="6" t="s">
        <v>1982</v>
      </c>
      <c r="B1173" s="7">
        <v>45588</v>
      </c>
      <c r="C1173" s="9">
        <f>HYPERLINK("https://eping.wto.org/en/Search?viewData= G/TBT/N/ARE/629, G/TBT/N/BHR/713, G/TBT/N/KWT/693, G/TBT/N/OMN/537, G/TBT/N/QAT/688, G/TBT/N/SAU/1358, G/TBT/N/YEM/294"," G/TBT/N/ARE/629, G/TBT/N/BHR/713, G/TBT/N/KWT/693, G/TBT/N/OMN/537, G/TBT/N/QAT/688, G/TBT/N/SAU/1358, G/TBT/N/YEM/294")</f>
      </c>
      <c r="D1173" s="8" t="s">
        <v>4106</v>
      </c>
      <c r="E1173" s="8" t="s">
        <v>4107</v>
      </c>
      <c r="F1173" s="8" t="s">
        <v>4052</v>
      </c>
      <c r="G1173" s="8" t="s">
        <v>22</v>
      </c>
      <c r="H1173" s="8" t="s">
        <v>4053</v>
      </c>
      <c r="I1173" s="8" t="s">
        <v>2475</v>
      </c>
      <c r="J1173" s="8" t="s">
        <v>22</v>
      </c>
      <c r="K1173" s="6"/>
      <c r="L1173" s="7">
        <v>45648</v>
      </c>
      <c r="M1173" s="6" t="s">
        <v>32</v>
      </c>
      <c r="N1173" s="8" t="s">
        <v>4108</v>
      </c>
      <c r="O1173" s="6">
        <f>HYPERLINK("https://docs.wto.org/imrd/directdoc.asp?DDFDocuments/t/G/TBTN24/ARE629.DOCX", "https://docs.wto.org/imrd/directdoc.asp?DDFDocuments/t/G/TBTN24/ARE629.DOCX")</f>
      </c>
      <c r="P1173" s="6">
        <f>HYPERLINK("https://docs.wto.org/imrd/directdoc.asp?DDFDocuments/u/G/TBTN24/ARE629.DOCX", "https://docs.wto.org/imrd/directdoc.asp?DDFDocuments/u/G/TBTN24/ARE629.DOCX")</f>
      </c>
      <c r="Q1173" s="6">
        <f>HYPERLINK("https://docs.wto.org/imrd/directdoc.asp?DDFDocuments/v/G/TBTN24/ARE629.DOCX", "https://docs.wto.org/imrd/directdoc.asp?DDFDocuments/v/G/TBTN24/ARE629.DOCX")</f>
      </c>
    </row>
    <row r="1174">
      <c r="A1174" s="6" t="s">
        <v>3272</v>
      </c>
      <c r="B1174" s="7">
        <v>45588</v>
      </c>
      <c r="C1174" s="9">
        <f>HYPERLINK("https://eping.wto.org/en/Search?viewData= G/TBT/N/ARE/629, G/TBT/N/BHR/713, G/TBT/N/KWT/693, G/TBT/N/OMN/537, G/TBT/N/QAT/688, G/TBT/N/SAU/1358, G/TBT/N/YEM/294"," G/TBT/N/ARE/629, G/TBT/N/BHR/713, G/TBT/N/KWT/693, G/TBT/N/OMN/537, G/TBT/N/QAT/688, G/TBT/N/SAU/1358, G/TBT/N/YEM/294")</f>
      </c>
      <c r="D1174" s="8" t="s">
        <v>4106</v>
      </c>
      <c r="E1174" s="8" t="s">
        <v>4107</v>
      </c>
      <c r="F1174" s="8" t="s">
        <v>4052</v>
      </c>
      <c r="G1174" s="8" t="s">
        <v>22</v>
      </c>
      <c r="H1174" s="8" t="s">
        <v>4053</v>
      </c>
      <c r="I1174" s="8" t="s">
        <v>2475</v>
      </c>
      <c r="J1174" s="8" t="s">
        <v>22</v>
      </c>
      <c r="K1174" s="6"/>
      <c r="L1174" s="7">
        <v>45648</v>
      </c>
      <c r="M1174" s="6" t="s">
        <v>32</v>
      </c>
      <c r="N1174" s="8" t="s">
        <v>4108</v>
      </c>
      <c r="O1174" s="6">
        <f>HYPERLINK("https://docs.wto.org/imrd/directdoc.asp?DDFDocuments/t/G/TBTN24/ARE629.DOCX", "https://docs.wto.org/imrd/directdoc.asp?DDFDocuments/t/G/TBTN24/ARE629.DOCX")</f>
      </c>
      <c r="P1174" s="6">
        <f>HYPERLINK("https://docs.wto.org/imrd/directdoc.asp?DDFDocuments/u/G/TBTN24/ARE629.DOCX", "https://docs.wto.org/imrd/directdoc.asp?DDFDocuments/u/G/TBTN24/ARE629.DOCX")</f>
      </c>
      <c r="Q1174" s="6">
        <f>HYPERLINK("https://docs.wto.org/imrd/directdoc.asp?DDFDocuments/v/G/TBTN24/ARE629.DOCX", "https://docs.wto.org/imrd/directdoc.asp?DDFDocuments/v/G/TBTN24/ARE629.DOCX")</f>
      </c>
    </row>
    <row r="1175">
      <c r="A1175" s="6" t="s">
        <v>82</v>
      </c>
      <c r="B1175" s="7">
        <v>45588</v>
      </c>
      <c r="C1175" s="9">
        <f>HYPERLINK("https://eping.wto.org/en/Search?viewData= G/SPS/N/BRA/2350"," G/SPS/N/BRA/2350")</f>
      </c>
      <c r="D1175" s="8" t="s">
        <v>4136</v>
      </c>
      <c r="E1175" s="8" t="s">
        <v>4137</v>
      </c>
      <c r="F1175" s="8" t="s">
        <v>4048</v>
      </c>
      <c r="G1175" s="8" t="s">
        <v>22</v>
      </c>
      <c r="H1175" s="8" t="s">
        <v>22</v>
      </c>
      <c r="I1175" s="8" t="s">
        <v>390</v>
      </c>
      <c r="J1175" s="8" t="s">
        <v>391</v>
      </c>
      <c r="K1175" s="6" t="s">
        <v>677</v>
      </c>
      <c r="L1175" s="7">
        <v>45648</v>
      </c>
      <c r="M1175" s="6" t="s">
        <v>32</v>
      </c>
      <c r="N1175" s="8" t="s">
        <v>4138</v>
      </c>
      <c r="O1175" s="6">
        <f>HYPERLINK("https://docs.wto.org/imrd/directdoc.asp?DDFDocuments/t/G/SPS/NBRA2350.DOCX", "https://docs.wto.org/imrd/directdoc.asp?DDFDocuments/t/G/SPS/NBRA2350.DOCX")</f>
      </c>
      <c r="P1175" s="6">
        <f>HYPERLINK("https://docs.wto.org/imrd/directdoc.asp?DDFDocuments/u/G/SPS/NBRA2350.DOCX", "https://docs.wto.org/imrd/directdoc.asp?DDFDocuments/u/G/SPS/NBRA2350.DOCX")</f>
      </c>
      <c r="Q1175" s="6">
        <f>HYPERLINK("https://docs.wto.org/imrd/directdoc.asp?DDFDocuments/v/G/SPS/NBRA2350.DOCX", "https://docs.wto.org/imrd/directdoc.asp?DDFDocuments/v/G/SPS/NBRA2350.DOCX")</f>
      </c>
    </row>
    <row r="1176">
      <c r="A1176" s="6" t="s">
        <v>53</v>
      </c>
      <c r="B1176" s="7">
        <v>45588</v>
      </c>
      <c r="C1176" s="9">
        <f>HYPERLINK("https://eping.wto.org/en/Search?viewData= G/TBT/N/BDI/281/Add.2, G/TBT/N/KEN/1315/Add.2, G/TBT/N/RWA/715/Add.2, G/TBT/N/TZA/834/Add.2, G/TBT/N/UGA/1689/Add.2"," G/TBT/N/BDI/281/Add.2, G/TBT/N/KEN/1315/Add.2, G/TBT/N/RWA/715/Add.2, G/TBT/N/TZA/834/Add.2, G/TBT/N/UGA/1689/Add.2")</f>
      </c>
      <c r="D1176" s="8" t="s">
        <v>4093</v>
      </c>
      <c r="E1176" s="8" t="s">
        <v>4094</v>
      </c>
      <c r="F1176" s="8" t="s">
        <v>4067</v>
      </c>
      <c r="G1176" s="8" t="s">
        <v>22</v>
      </c>
      <c r="H1176" s="8" t="s">
        <v>2063</v>
      </c>
      <c r="I1176" s="8" t="s">
        <v>4064</v>
      </c>
      <c r="J1176" s="8" t="s">
        <v>812</v>
      </c>
      <c r="K1176" s="6"/>
      <c r="L1176" s="7" t="s">
        <v>22</v>
      </c>
      <c r="M1176" s="6" t="s">
        <v>40</v>
      </c>
      <c r="N1176" s="6"/>
      <c r="O1176" s="6">
        <f>HYPERLINK("https://docs.wto.org/imrd/directdoc.asp?DDFDocuments/t/G/TBTN22/BDI281A2.DOCX", "https://docs.wto.org/imrd/directdoc.asp?DDFDocuments/t/G/TBTN22/BDI281A2.DOCX")</f>
      </c>
      <c r="P1176" s="6">
        <f>HYPERLINK("https://docs.wto.org/imrd/directdoc.asp?DDFDocuments/u/G/TBTN22/BDI281A2.DOCX", "https://docs.wto.org/imrd/directdoc.asp?DDFDocuments/u/G/TBTN22/BDI281A2.DOCX")</f>
      </c>
      <c r="Q1176" s="6">
        <f>HYPERLINK("https://docs.wto.org/imrd/directdoc.asp?DDFDocuments/v/G/TBTN22/BDI281A2.DOCX", "https://docs.wto.org/imrd/directdoc.asp?DDFDocuments/v/G/TBTN22/BDI281A2.DOCX")</f>
      </c>
    </row>
    <row r="1177">
      <c r="A1177" s="6" t="s">
        <v>60</v>
      </c>
      <c r="B1177" s="7">
        <v>45588</v>
      </c>
      <c r="C1177" s="9">
        <f>HYPERLINK("https://eping.wto.org/en/Search?viewData= G/TBT/N/BDI/286/Add.2, G/TBT/N/KEN/1320/Add.2, G/TBT/N/RWA/720/Add.2, G/TBT/N/TZA/839/Add.2, G/TBT/N/UGA/1694/Add.2"," G/TBT/N/BDI/286/Add.2, G/TBT/N/KEN/1320/Add.2, G/TBT/N/RWA/720/Add.2, G/TBT/N/TZA/839/Add.2, G/TBT/N/UGA/1694/Add.2")</f>
      </c>
      <c r="D1177" s="8" t="s">
        <v>2113</v>
      </c>
      <c r="E1177" s="8" t="s">
        <v>4072</v>
      </c>
      <c r="F1177" s="8" t="s">
        <v>4073</v>
      </c>
      <c r="G1177" s="8" t="s">
        <v>2116</v>
      </c>
      <c r="H1177" s="8" t="s">
        <v>4074</v>
      </c>
      <c r="I1177" s="8" t="s">
        <v>4071</v>
      </c>
      <c r="J1177" s="8" t="s">
        <v>812</v>
      </c>
      <c r="K1177" s="6"/>
      <c r="L1177" s="7" t="s">
        <v>22</v>
      </c>
      <c r="M1177" s="6" t="s">
        <v>40</v>
      </c>
      <c r="N1177" s="6"/>
      <c r="O1177" s="6">
        <f>HYPERLINK("https://docs.wto.org/imrd/directdoc.asp?DDFDocuments/t/G/TBTN22/BDI286A2.DOCX", "https://docs.wto.org/imrd/directdoc.asp?DDFDocuments/t/G/TBTN22/BDI286A2.DOCX")</f>
      </c>
      <c r="P1177" s="6">
        <f>HYPERLINK("https://docs.wto.org/imrd/directdoc.asp?DDFDocuments/u/G/TBTN22/BDI286A2.DOCX", "https://docs.wto.org/imrd/directdoc.asp?DDFDocuments/u/G/TBTN22/BDI286A2.DOCX")</f>
      </c>
      <c r="Q1177" s="6">
        <f>HYPERLINK("https://docs.wto.org/imrd/directdoc.asp?DDFDocuments/v/G/TBTN22/BDI286A2.DOCX", "https://docs.wto.org/imrd/directdoc.asp?DDFDocuments/v/G/TBTN22/BDI286A2.DOCX")</f>
      </c>
    </row>
    <row r="1178">
      <c r="A1178" s="6" t="s">
        <v>60</v>
      </c>
      <c r="B1178" s="7">
        <v>45588</v>
      </c>
      <c r="C1178" s="9">
        <f>HYPERLINK("https://eping.wto.org/en/Search?viewData= G/TBT/N/BDI/288/Add.2, G/TBT/N/KEN/1322/Add.2, G/TBT/N/RWA/722/Add.2, G/TBT/N/TZA/841/Add.2, G/TBT/N/UGA/1696/Add.2"," G/TBT/N/BDI/288/Add.2, G/TBT/N/KEN/1322/Add.2, G/TBT/N/RWA/722/Add.2, G/TBT/N/TZA/841/Add.2, G/TBT/N/UGA/1696/Add.2")</f>
      </c>
      <c r="D1178" s="8" t="s">
        <v>4090</v>
      </c>
      <c r="E1178" s="8" t="s">
        <v>4091</v>
      </c>
      <c r="F1178" s="8" t="s">
        <v>4092</v>
      </c>
      <c r="G1178" s="8" t="s">
        <v>2098</v>
      </c>
      <c r="H1178" s="8" t="s">
        <v>2117</v>
      </c>
      <c r="I1178" s="8" t="s">
        <v>4071</v>
      </c>
      <c r="J1178" s="8" t="s">
        <v>812</v>
      </c>
      <c r="K1178" s="6"/>
      <c r="L1178" s="7" t="s">
        <v>22</v>
      </c>
      <c r="M1178" s="6" t="s">
        <v>40</v>
      </c>
      <c r="N1178" s="6"/>
      <c r="O1178" s="6">
        <f>HYPERLINK("https://docs.wto.org/imrd/directdoc.asp?DDFDocuments/t/G/TBTN22/BDI288A2.DOCX", "https://docs.wto.org/imrd/directdoc.asp?DDFDocuments/t/G/TBTN22/BDI288A2.DOCX")</f>
      </c>
      <c r="P1178" s="6">
        <f>HYPERLINK("https://docs.wto.org/imrd/directdoc.asp?DDFDocuments/u/G/TBTN22/BDI288A2.DOCX", "https://docs.wto.org/imrd/directdoc.asp?DDFDocuments/u/G/TBTN22/BDI288A2.DOCX")</f>
      </c>
      <c r="Q1178" s="6">
        <f>HYPERLINK("https://docs.wto.org/imrd/directdoc.asp?DDFDocuments/v/G/TBTN22/BDI288A2.DOCX", "https://docs.wto.org/imrd/directdoc.asp?DDFDocuments/v/G/TBTN22/BDI288A2.DOCX")</f>
      </c>
    </row>
    <row r="1179">
      <c r="A1179" s="6" t="s">
        <v>1989</v>
      </c>
      <c r="B1179" s="7">
        <v>45588</v>
      </c>
      <c r="C1179" s="9">
        <f>HYPERLINK("https://eping.wto.org/en/Search?viewData= G/TBT/N/TUR/222"," G/TBT/N/TUR/222")</f>
      </c>
      <c r="D1179" s="8" t="s">
        <v>4110</v>
      </c>
      <c r="E1179" s="8" t="s">
        <v>4111</v>
      </c>
      <c r="F1179" s="8" t="s">
        <v>4112</v>
      </c>
      <c r="G1179" s="8" t="s">
        <v>22</v>
      </c>
      <c r="H1179" s="8" t="s">
        <v>22</v>
      </c>
      <c r="I1179" s="8" t="s">
        <v>39</v>
      </c>
      <c r="J1179" s="8" t="s">
        <v>58</v>
      </c>
      <c r="K1179" s="6"/>
      <c r="L1179" s="7">
        <v>45648</v>
      </c>
      <c r="M1179" s="6" t="s">
        <v>32</v>
      </c>
      <c r="N1179" s="8" t="s">
        <v>4139</v>
      </c>
      <c r="O1179" s="6">
        <f>HYPERLINK("https://docs.wto.org/imrd/directdoc.asp?DDFDocuments/t/G/TBTN24/TUR222.DOCX", "https://docs.wto.org/imrd/directdoc.asp?DDFDocuments/t/G/TBTN24/TUR222.DOCX")</f>
      </c>
      <c r="P1179" s="6">
        <f>HYPERLINK("https://docs.wto.org/imrd/directdoc.asp?DDFDocuments/u/G/TBTN24/TUR222.DOCX", "https://docs.wto.org/imrd/directdoc.asp?DDFDocuments/u/G/TBTN24/TUR222.DOCX")</f>
      </c>
      <c r="Q1179" s="6">
        <f>HYPERLINK("https://docs.wto.org/imrd/directdoc.asp?DDFDocuments/v/G/TBTN24/TUR222.DOCX", "https://docs.wto.org/imrd/directdoc.asp?DDFDocuments/v/G/TBTN24/TUR222.DOCX")</f>
      </c>
    </row>
    <row r="1180">
      <c r="A1180" s="6" t="s">
        <v>3271</v>
      </c>
      <c r="B1180" s="7">
        <v>45588</v>
      </c>
      <c r="C1180" s="9">
        <f>HYPERLINK("https://eping.wto.org/en/Search?viewData= G/TBT/N/ARE/630, G/TBT/N/BHR/714, G/TBT/N/KWT/694, G/TBT/N/OMN/538, G/TBT/N/QAT/689, G/TBT/N/SAU/1359, G/TBT/N/YEM/295"," G/TBT/N/ARE/630, G/TBT/N/BHR/714, G/TBT/N/KWT/694, G/TBT/N/OMN/538, G/TBT/N/QAT/689, G/TBT/N/SAU/1359, G/TBT/N/YEM/295")</f>
      </c>
      <c r="D1180" s="8" t="s">
        <v>4043</v>
      </c>
      <c r="E1180" s="8" t="s">
        <v>4044</v>
      </c>
      <c r="F1180" s="8" t="s">
        <v>3777</v>
      </c>
      <c r="G1180" s="8" t="s">
        <v>22</v>
      </c>
      <c r="H1180" s="8" t="s">
        <v>115</v>
      </c>
      <c r="I1180" s="8" t="s">
        <v>760</v>
      </c>
      <c r="J1180" s="8" t="s">
        <v>558</v>
      </c>
      <c r="K1180" s="6"/>
      <c r="L1180" s="7">
        <v>45648</v>
      </c>
      <c r="M1180" s="6" t="s">
        <v>32</v>
      </c>
      <c r="N1180" s="8" t="s">
        <v>4045</v>
      </c>
      <c r="O1180" s="6">
        <f>HYPERLINK("https://docs.wto.org/imrd/directdoc.asp?DDFDocuments/t/G/TBTN24/ARE630.DOCX", "https://docs.wto.org/imrd/directdoc.asp?DDFDocuments/t/G/TBTN24/ARE630.DOCX")</f>
      </c>
      <c r="P1180" s="6">
        <f>HYPERLINK("https://docs.wto.org/imrd/directdoc.asp?DDFDocuments/u/G/TBTN24/ARE630.DOCX", "https://docs.wto.org/imrd/directdoc.asp?DDFDocuments/u/G/TBTN24/ARE630.DOCX")</f>
      </c>
      <c r="Q1180" s="6">
        <f>HYPERLINK("https://docs.wto.org/imrd/directdoc.asp?DDFDocuments/v/G/TBTN24/ARE630.DOCX", "https://docs.wto.org/imrd/directdoc.asp?DDFDocuments/v/G/TBTN24/ARE630.DOCX")</f>
      </c>
    </row>
    <row r="1181">
      <c r="A1181" s="6" t="s">
        <v>82</v>
      </c>
      <c r="B1181" s="7">
        <v>45588</v>
      </c>
      <c r="C1181" s="9">
        <f>HYPERLINK("https://eping.wto.org/en/Search?viewData= G/SPS/N/BRA/2354"," G/SPS/N/BRA/2354")</f>
      </c>
      <c r="D1181" s="8" t="s">
        <v>4140</v>
      </c>
      <c r="E1181" s="8" t="s">
        <v>4141</v>
      </c>
      <c r="F1181" s="8" t="s">
        <v>4048</v>
      </c>
      <c r="G1181" s="8" t="s">
        <v>22</v>
      </c>
      <c r="H1181" s="8" t="s">
        <v>22</v>
      </c>
      <c r="I1181" s="8" t="s">
        <v>390</v>
      </c>
      <c r="J1181" s="8" t="s">
        <v>391</v>
      </c>
      <c r="K1181" s="6" t="s">
        <v>2765</v>
      </c>
      <c r="L1181" s="7">
        <v>45648</v>
      </c>
      <c r="M1181" s="6" t="s">
        <v>32</v>
      </c>
      <c r="N1181" s="8" t="s">
        <v>4142</v>
      </c>
      <c r="O1181" s="6">
        <f>HYPERLINK("https://docs.wto.org/imrd/directdoc.asp?DDFDocuments/t/G/SPS/NBRA2354.DOCX", "https://docs.wto.org/imrd/directdoc.asp?DDFDocuments/t/G/SPS/NBRA2354.DOCX")</f>
      </c>
      <c r="P1181" s="6">
        <f>HYPERLINK("https://docs.wto.org/imrd/directdoc.asp?DDFDocuments/u/G/SPS/NBRA2354.DOCX", "https://docs.wto.org/imrd/directdoc.asp?DDFDocuments/u/G/SPS/NBRA2354.DOCX")</f>
      </c>
      <c r="Q1181" s="6">
        <f>HYPERLINK("https://docs.wto.org/imrd/directdoc.asp?DDFDocuments/v/G/SPS/NBRA2354.DOCX", "https://docs.wto.org/imrd/directdoc.asp?DDFDocuments/v/G/SPS/NBRA2354.DOCX")</f>
      </c>
    </row>
    <row r="1182">
      <c r="A1182" s="6" t="s">
        <v>170</v>
      </c>
      <c r="B1182" s="7">
        <v>45588</v>
      </c>
      <c r="C1182" s="9">
        <f>HYPERLINK("https://eping.wto.org/en/Search?viewData= G/TBT/N/ARE/629, G/TBT/N/BHR/713, G/TBT/N/KWT/693, G/TBT/N/OMN/537, G/TBT/N/QAT/688, G/TBT/N/SAU/1358, G/TBT/N/YEM/294"," G/TBT/N/ARE/629, G/TBT/N/BHR/713, G/TBT/N/KWT/693, G/TBT/N/OMN/537, G/TBT/N/QAT/688, G/TBT/N/SAU/1358, G/TBT/N/YEM/294")</f>
      </c>
      <c r="D1182" s="8" t="s">
        <v>4106</v>
      </c>
      <c r="E1182" s="8" t="s">
        <v>4107</v>
      </c>
      <c r="F1182" s="8" t="s">
        <v>4052</v>
      </c>
      <c r="G1182" s="8" t="s">
        <v>22</v>
      </c>
      <c r="H1182" s="8" t="s">
        <v>4053</v>
      </c>
      <c r="I1182" s="8" t="s">
        <v>2475</v>
      </c>
      <c r="J1182" s="8" t="s">
        <v>22</v>
      </c>
      <c r="K1182" s="6"/>
      <c r="L1182" s="7">
        <v>45648</v>
      </c>
      <c r="M1182" s="6" t="s">
        <v>32</v>
      </c>
      <c r="N1182" s="8" t="s">
        <v>4108</v>
      </c>
      <c r="O1182" s="6">
        <f>HYPERLINK("https://docs.wto.org/imrd/directdoc.asp?DDFDocuments/t/G/TBTN24/ARE629.DOCX", "https://docs.wto.org/imrd/directdoc.asp?DDFDocuments/t/G/TBTN24/ARE629.DOCX")</f>
      </c>
      <c r="P1182" s="6">
        <f>HYPERLINK("https://docs.wto.org/imrd/directdoc.asp?DDFDocuments/u/G/TBTN24/ARE629.DOCX", "https://docs.wto.org/imrd/directdoc.asp?DDFDocuments/u/G/TBTN24/ARE629.DOCX")</f>
      </c>
      <c r="Q1182" s="6">
        <f>HYPERLINK("https://docs.wto.org/imrd/directdoc.asp?DDFDocuments/v/G/TBTN24/ARE629.DOCX", "https://docs.wto.org/imrd/directdoc.asp?DDFDocuments/v/G/TBTN24/ARE629.DOCX")</f>
      </c>
    </row>
    <row r="1183">
      <c r="A1183" s="6" t="s">
        <v>60</v>
      </c>
      <c r="B1183" s="7">
        <v>45588</v>
      </c>
      <c r="C1183" s="9">
        <f>HYPERLINK("https://eping.wto.org/en/Search?viewData= G/TBT/N/BDI/283/Add.2, G/TBT/N/KEN/1317/Add.2, G/TBT/N/RWA/717/Add.2, G/TBT/N/TZA/836/Add.2, G/TBT/N/UGA/1691/Add.2"," G/TBT/N/BDI/283/Add.2, G/TBT/N/KEN/1317/Add.2, G/TBT/N/RWA/717/Add.2, G/TBT/N/TZA/836/Add.2, G/TBT/N/UGA/1691/Add.2")</f>
      </c>
      <c r="D1183" s="8" t="s">
        <v>4088</v>
      </c>
      <c r="E1183" s="8" t="s">
        <v>4089</v>
      </c>
      <c r="F1183" s="8" t="s">
        <v>4067</v>
      </c>
      <c r="G1183" s="8" t="s">
        <v>22</v>
      </c>
      <c r="H1183" s="8" t="s">
        <v>2063</v>
      </c>
      <c r="I1183" s="8" t="s">
        <v>4064</v>
      </c>
      <c r="J1183" s="8" t="s">
        <v>812</v>
      </c>
      <c r="K1183" s="6"/>
      <c r="L1183" s="7" t="s">
        <v>22</v>
      </c>
      <c r="M1183" s="6" t="s">
        <v>40</v>
      </c>
      <c r="N1183" s="6"/>
      <c r="O1183" s="6">
        <f>HYPERLINK("https://docs.wto.org/imrd/directdoc.asp?DDFDocuments/t/G/TBTN22/BDI283A2.DOCX", "https://docs.wto.org/imrd/directdoc.asp?DDFDocuments/t/G/TBTN22/BDI283A2.DOCX")</f>
      </c>
      <c r="P1183" s="6">
        <f>HYPERLINK("https://docs.wto.org/imrd/directdoc.asp?DDFDocuments/u/G/TBTN22/BDI283A2.DOCX", "https://docs.wto.org/imrd/directdoc.asp?DDFDocuments/u/G/TBTN22/BDI283A2.DOCX")</f>
      </c>
      <c r="Q1183" s="6">
        <f>HYPERLINK("https://docs.wto.org/imrd/directdoc.asp?DDFDocuments/v/G/TBTN22/BDI283A2.DOCX", "https://docs.wto.org/imrd/directdoc.asp?DDFDocuments/v/G/TBTN22/BDI283A2.DOCX")</f>
      </c>
    </row>
    <row r="1184">
      <c r="A1184" s="6" t="s">
        <v>26</v>
      </c>
      <c r="B1184" s="7">
        <v>45588</v>
      </c>
      <c r="C1184" s="9">
        <f>HYPERLINK("https://eping.wto.org/en/Search?viewData= G/TBT/N/BDI/283/Add.2, G/TBT/N/KEN/1317/Add.2, G/TBT/N/RWA/717/Add.2, G/TBT/N/TZA/836/Add.2, G/TBT/N/UGA/1691/Add.2"," G/TBT/N/BDI/283/Add.2, G/TBT/N/KEN/1317/Add.2, G/TBT/N/RWA/717/Add.2, G/TBT/N/TZA/836/Add.2, G/TBT/N/UGA/1691/Add.2")</f>
      </c>
      <c r="D1184" s="8" t="s">
        <v>4088</v>
      </c>
      <c r="E1184" s="8" t="s">
        <v>4089</v>
      </c>
      <c r="F1184" s="8" t="s">
        <v>4067</v>
      </c>
      <c r="G1184" s="8" t="s">
        <v>22</v>
      </c>
      <c r="H1184" s="8" t="s">
        <v>2063</v>
      </c>
      <c r="I1184" s="8" t="s">
        <v>4064</v>
      </c>
      <c r="J1184" s="8" t="s">
        <v>812</v>
      </c>
      <c r="K1184" s="6"/>
      <c r="L1184" s="7" t="s">
        <v>22</v>
      </c>
      <c r="M1184" s="6" t="s">
        <v>40</v>
      </c>
      <c r="N1184" s="6"/>
      <c r="O1184" s="6">
        <f>HYPERLINK("https://docs.wto.org/imrd/directdoc.asp?DDFDocuments/t/G/TBTN22/BDI283A2.DOCX", "https://docs.wto.org/imrd/directdoc.asp?DDFDocuments/t/G/TBTN22/BDI283A2.DOCX")</f>
      </c>
      <c r="P1184" s="6">
        <f>HYPERLINK("https://docs.wto.org/imrd/directdoc.asp?DDFDocuments/u/G/TBTN22/BDI283A2.DOCX", "https://docs.wto.org/imrd/directdoc.asp?DDFDocuments/u/G/TBTN22/BDI283A2.DOCX")</f>
      </c>
      <c r="Q1184" s="6">
        <f>HYPERLINK("https://docs.wto.org/imrd/directdoc.asp?DDFDocuments/v/G/TBTN22/BDI283A2.DOCX", "https://docs.wto.org/imrd/directdoc.asp?DDFDocuments/v/G/TBTN22/BDI283A2.DOCX")</f>
      </c>
    </row>
    <row r="1185">
      <c r="A1185" s="6" t="s">
        <v>49</v>
      </c>
      <c r="B1185" s="7">
        <v>45588</v>
      </c>
      <c r="C1185" s="9">
        <f>HYPERLINK("https://eping.wto.org/en/Search?viewData= G/TBT/N/BDI/284/Add.1, G/TBT/N/KEN/1318/Add.1, G/TBT/N/RWA/718/Add.1, G/TBT/N/TZA/837/Add.1, G/TBT/N/UGA/1692/Add.1"," G/TBT/N/BDI/284/Add.1, G/TBT/N/KEN/1318/Add.1, G/TBT/N/RWA/718/Add.1, G/TBT/N/TZA/837/Add.1, G/TBT/N/UGA/1692/Add.1")</f>
      </c>
      <c r="D1185" s="8" t="s">
        <v>4065</v>
      </c>
      <c r="E1185" s="8" t="s">
        <v>4066</v>
      </c>
      <c r="F1185" s="8" t="s">
        <v>4067</v>
      </c>
      <c r="G1185" s="8" t="s">
        <v>22</v>
      </c>
      <c r="H1185" s="8" t="s">
        <v>2063</v>
      </c>
      <c r="I1185" s="8" t="s">
        <v>4064</v>
      </c>
      <c r="J1185" s="8" t="s">
        <v>812</v>
      </c>
      <c r="K1185" s="6"/>
      <c r="L1185" s="7" t="s">
        <v>22</v>
      </c>
      <c r="M1185" s="6" t="s">
        <v>40</v>
      </c>
      <c r="N1185" s="6"/>
      <c r="O1185" s="6">
        <f>HYPERLINK("https://docs.wto.org/imrd/directdoc.asp?DDFDocuments/t/G/TBTN22/BDI284A1.DOCX", "https://docs.wto.org/imrd/directdoc.asp?DDFDocuments/t/G/TBTN22/BDI284A1.DOCX")</f>
      </c>
      <c r="P1185" s="6">
        <f>HYPERLINK("https://docs.wto.org/imrd/directdoc.asp?DDFDocuments/u/G/TBTN22/BDI284A1.DOCX", "https://docs.wto.org/imrd/directdoc.asp?DDFDocuments/u/G/TBTN22/BDI284A1.DOCX")</f>
      </c>
      <c r="Q1185" s="6">
        <f>HYPERLINK("https://docs.wto.org/imrd/directdoc.asp?DDFDocuments/v/G/TBTN22/BDI284A1.DOCX", "https://docs.wto.org/imrd/directdoc.asp?DDFDocuments/v/G/TBTN22/BDI284A1.DOCX")</f>
      </c>
    </row>
    <row r="1186">
      <c r="A1186" s="6" t="s">
        <v>49</v>
      </c>
      <c r="B1186" s="7">
        <v>45588</v>
      </c>
      <c r="C1186" s="9">
        <f>HYPERLINK("https://eping.wto.org/en/Search?viewData= G/TBT/N/BDI/287/Add.2, G/TBT/N/KEN/1321/Add.2, G/TBT/N/RWA/721/Add.2, G/TBT/N/TZA/840/Add.2, G/TBT/N/UGA/1695/Add.2"," G/TBT/N/BDI/287/Add.2, G/TBT/N/KEN/1321/Add.2, G/TBT/N/RWA/721/Add.2, G/TBT/N/TZA/840/Add.2, G/TBT/N/UGA/1695/Add.2")</f>
      </c>
      <c r="D1186" s="8" t="s">
        <v>2103</v>
      </c>
      <c r="E1186" s="8" t="s">
        <v>4070</v>
      </c>
      <c r="F1186" s="8" t="s">
        <v>2105</v>
      </c>
      <c r="G1186" s="8" t="s">
        <v>2106</v>
      </c>
      <c r="H1186" s="8" t="s">
        <v>2107</v>
      </c>
      <c r="I1186" s="8" t="s">
        <v>4071</v>
      </c>
      <c r="J1186" s="8" t="s">
        <v>812</v>
      </c>
      <c r="K1186" s="6"/>
      <c r="L1186" s="7" t="s">
        <v>22</v>
      </c>
      <c r="M1186" s="6" t="s">
        <v>40</v>
      </c>
      <c r="N1186" s="6"/>
      <c r="O1186" s="6">
        <f>HYPERLINK("https://docs.wto.org/imrd/directdoc.asp?DDFDocuments/t/G/TBTN22/BDI287A2.DOCX", "https://docs.wto.org/imrd/directdoc.asp?DDFDocuments/t/G/TBTN22/BDI287A2.DOCX")</f>
      </c>
      <c r="P1186" s="6">
        <f>HYPERLINK("https://docs.wto.org/imrd/directdoc.asp?DDFDocuments/u/G/TBTN22/BDI287A2.DOCX", "https://docs.wto.org/imrd/directdoc.asp?DDFDocuments/u/G/TBTN22/BDI287A2.DOCX")</f>
      </c>
      <c r="Q1186" s="6">
        <f>HYPERLINK("https://docs.wto.org/imrd/directdoc.asp?DDFDocuments/v/G/TBTN22/BDI287A2.DOCX", "https://docs.wto.org/imrd/directdoc.asp?DDFDocuments/v/G/TBTN22/BDI287A2.DOCX")</f>
      </c>
    </row>
    <row r="1187">
      <c r="A1187" s="6" t="s">
        <v>3271</v>
      </c>
      <c r="B1187" s="7">
        <v>45588</v>
      </c>
      <c r="C1187" s="9">
        <f>HYPERLINK("https://eping.wto.org/en/Search?viewData= G/TBT/N/ARE/541/Add.1, G/TBT/N/BHR/633/Add.1, G/TBT/N/KWT/599/Add.1, G/TBT/N/OMN/469/Add.1, G/TBT/N/QAT/620/Add.1, G/TBT/N/SAU/1248/Add.1, G/TBT/N/YEM/227/Add.1"," G/TBT/N/ARE/541/Add.1, G/TBT/N/BHR/633/Add.1, G/TBT/N/KWT/599/Add.1, G/TBT/N/OMN/469/Add.1, G/TBT/N/QAT/620/Add.1, G/TBT/N/SAU/1248/Add.1, G/TBT/N/YEM/227/Add.1")</f>
      </c>
      <c r="D1187" s="8" t="s">
        <v>3831</v>
      </c>
      <c r="E1187" s="8" t="s">
        <v>4075</v>
      </c>
      <c r="F1187" s="8" t="s">
        <v>3777</v>
      </c>
      <c r="G1187" s="8" t="s">
        <v>22</v>
      </c>
      <c r="H1187" s="8" t="s">
        <v>358</v>
      </c>
      <c r="I1187" s="8" t="s">
        <v>760</v>
      </c>
      <c r="J1187" s="8" t="s">
        <v>81</v>
      </c>
      <c r="K1187" s="6"/>
      <c r="L1187" s="7" t="s">
        <v>22</v>
      </c>
      <c r="M1187" s="6" t="s">
        <v>40</v>
      </c>
      <c r="N1187" s="8" t="s">
        <v>4076</v>
      </c>
      <c r="O1187" s="6">
        <f>HYPERLINK("https://docs.wto.org/imrd/directdoc.asp?DDFDocuments/t/G/TBTN22/ARE541A1.DOCX", "https://docs.wto.org/imrd/directdoc.asp?DDFDocuments/t/G/TBTN22/ARE541A1.DOCX")</f>
      </c>
      <c r="P1187" s="6">
        <f>HYPERLINK("https://docs.wto.org/imrd/directdoc.asp?DDFDocuments/u/G/TBTN22/ARE541A1.DOCX", "https://docs.wto.org/imrd/directdoc.asp?DDFDocuments/u/G/TBTN22/ARE541A1.DOCX")</f>
      </c>
      <c r="Q1187" s="6">
        <f>HYPERLINK("https://docs.wto.org/imrd/directdoc.asp?DDFDocuments/v/G/TBTN22/ARE541A1.DOCX", "https://docs.wto.org/imrd/directdoc.asp?DDFDocuments/v/G/TBTN22/ARE541A1.DOCX")</f>
      </c>
    </row>
    <row r="1188">
      <c r="A1188" s="6" t="s">
        <v>68</v>
      </c>
      <c r="B1188" s="7">
        <v>45588</v>
      </c>
      <c r="C1188" s="9">
        <f>HYPERLINK("https://eping.wto.org/en/Search?viewData= G/TBT/N/BDI/284/Add.1, G/TBT/N/KEN/1318/Add.1, G/TBT/N/RWA/718/Add.1, G/TBT/N/TZA/837/Add.1, G/TBT/N/UGA/1692/Add.1"," G/TBT/N/BDI/284/Add.1, G/TBT/N/KEN/1318/Add.1, G/TBT/N/RWA/718/Add.1, G/TBT/N/TZA/837/Add.1, G/TBT/N/UGA/1692/Add.1")</f>
      </c>
      <c r="D1188" s="8" t="s">
        <v>4065</v>
      </c>
      <c r="E1188" s="8" t="s">
        <v>4066</v>
      </c>
      <c r="F1188" s="8" t="s">
        <v>4067</v>
      </c>
      <c r="G1188" s="8" t="s">
        <v>22</v>
      </c>
      <c r="H1188" s="8" t="s">
        <v>2063</v>
      </c>
      <c r="I1188" s="8" t="s">
        <v>3102</v>
      </c>
      <c r="J1188" s="8" t="s">
        <v>81</v>
      </c>
      <c r="K1188" s="6"/>
      <c r="L1188" s="7" t="s">
        <v>22</v>
      </c>
      <c r="M1188" s="6" t="s">
        <v>40</v>
      </c>
      <c r="N1188" s="6"/>
      <c r="O1188" s="6">
        <f>HYPERLINK("https://docs.wto.org/imrd/directdoc.asp?DDFDocuments/t/G/TBTN22/BDI284A1.DOCX", "https://docs.wto.org/imrd/directdoc.asp?DDFDocuments/t/G/TBTN22/BDI284A1.DOCX")</f>
      </c>
      <c r="P1188" s="6">
        <f>HYPERLINK("https://docs.wto.org/imrd/directdoc.asp?DDFDocuments/u/G/TBTN22/BDI284A1.DOCX", "https://docs.wto.org/imrd/directdoc.asp?DDFDocuments/u/G/TBTN22/BDI284A1.DOCX")</f>
      </c>
      <c r="Q1188" s="6">
        <f>HYPERLINK("https://docs.wto.org/imrd/directdoc.asp?DDFDocuments/v/G/TBTN22/BDI284A1.DOCX", "https://docs.wto.org/imrd/directdoc.asp?DDFDocuments/v/G/TBTN22/BDI284A1.DOCX")</f>
      </c>
    </row>
    <row r="1189">
      <c r="A1189" s="6" t="s">
        <v>1339</v>
      </c>
      <c r="B1189" s="7">
        <v>45588</v>
      </c>
      <c r="C1189" s="9">
        <f>HYPERLINK("https://eping.wto.org/en/Search?viewData= G/TBT/N/ESP/51"," G/TBT/N/ESP/51")</f>
      </c>
      <c r="D1189" s="8" t="s">
        <v>4143</v>
      </c>
      <c r="E1189" s="8" t="s">
        <v>4144</v>
      </c>
      <c r="F1189" s="8" t="s">
        <v>4145</v>
      </c>
      <c r="G1189" s="8" t="s">
        <v>4146</v>
      </c>
      <c r="H1189" s="8" t="s">
        <v>22</v>
      </c>
      <c r="I1189" s="8" t="s">
        <v>380</v>
      </c>
      <c r="J1189" s="8" t="s">
        <v>58</v>
      </c>
      <c r="K1189" s="6"/>
      <c r="L1189" s="7">
        <v>45648</v>
      </c>
      <c r="M1189" s="6" t="s">
        <v>32</v>
      </c>
      <c r="N1189" s="8" t="s">
        <v>4147</v>
      </c>
      <c r="O1189" s="6">
        <f>HYPERLINK("https://docs.wto.org/imrd/directdoc.asp?DDFDocuments/t/G/TBTN24/ESP51.DOCX", "https://docs.wto.org/imrd/directdoc.asp?DDFDocuments/t/G/TBTN24/ESP51.DOCX")</f>
      </c>
      <c r="P1189" s="6">
        <f>HYPERLINK("https://docs.wto.org/imrd/directdoc.asp?DDFDocuments/u/G/TBTN24/ESP51.DOCX", "https://docs.wto.org/imrd/directdoc.asp?DDFDocuments/u/G/TBTN24/ESP51.DOCX")</f>
      </c>
      <c r="Q1189" s="6">
        <f>HYPERLINK("https://docs.wto.org/imrd/directdoc.asp?DDFDocuments/v/G/TBTN24/ESP51.DOCX", "https://docs.wto.org/imrd/directdoc.asp?DDFDocuments/v/G/TBTN24/ESP51.DOCX")</f>
      </c>
    </row>
    <row r="1190">
      <c r="A1190" s="6" t="s">
        <v>3271</v>
      </c>
      <c r="B1190" s="7">
        <v>45588</v>
      </c>
      <c r="C1190" s="9">
        <f>HYPERLINK("https://eping.wto.org/en/Search?viewData= G/TBT/N/ARE/451/Add.1, G/TBT/N/BHR/555/Add.1, G/TBT/N/KWT/442/Add.1, G/TBT/N/OMN/388/Add.1, G/TBT/N/QAT/553/Add.1, G/TBT/N/SAU/1095/Add.1, G/TBT/N/YEM/156/Add.1"," G/TBT/N/ARE/451/Add.1, G/TBT/N/BHR/555/Add.1, G/TBT/N/KWT/442/Add.1, G/TBT/N/OMN/388/Add.1, G/TBT/N/QAT/553/Add.1, G/TBT/N/SAU/1095/Add.1, G/TBT/N/YEM/156/Add.1")</f>
      </c>
      <c r="D1190" s="8" t="s">
        <v>3819</v>
      </c>
      <c r="E1190" s="8" t="s">
        <v>4085</v>
      </c>
      <c r="F1190" s="8" t="s">
        <v>3777</v>
      </c>
      <c r="G1190" s="8" t="s">
        <v>3821</v>
      </c>
      <c r="H1190" s="8" t="s">
        <v>3836</v>
      </c>
      <c r="I1190" s="8" t="s">
        <v>88</v>
      </c>
      <c r="J1190" s="8" t="s">
        <v>4086</v>
      </c>
      <c r="K1190" s="6"/>
      <c r="L1190" s="7" t="s">
        <v>22</v>
      </c>
      <c r="M1190" s="6" t="s">
        <v>40</v>
      </c>
      <c r="N1190" s="8" t="s">
        <v>4087</v>
      </c>
      <c r="O1190" s="6">
        <f>HYPERLINK("https://docs.wto.org/imrd/directdoc.asp?DDFDocuments/t/G/TBTN18/ARE451A1.DOCX", "https://docs.wto.org/imrd/directdoc.asp?DDFDocuments/t/G/TBTN18/ARE451A1.DOCX")</f>
      </c>
      <c r="P1190" s="6">
        <f>HYPERLINK("https://docs.wto.org/imrd/directdoc.asp?DDFDocuments/u/G/TBTN18/ARE451A1.DOCX", "https://docs.wto.org/imrd/directdoc.asp?DDFDocuments/u/G/TBTN18/ARE451A1.DOCX")</f>
      </c>
      <c r="Q1190" s="6">
        <f>HYPERLINK("https://docs.wto.org/imrd/directdoc.asp?DDFDocuments/v/G/TBTN18/ARE451A1.DOCX", "https://docs.wto.org/imrd/directdoc.asp?DDFDocuments/v/G/TBTN18/ARE451A1.DOCX")</f>
      </c>
    </row>
    <row r="1191">
      <c r="A1191" s="6" t="s">
        <v>374</v>
      </c>
      <c r="B1191" s="7">
        <v>45588</v>
      </c>
      <c r="C1191" s="9">
        <f>HYPERLINK("https://eping.wto.org/en/Search?viewData= G/SPS/N/CRI/286"," G/SPS/N/CRI/286")</f>
      </c>
      <c r="D1191" s="8" t="s">
        <v>4148</v>
      </c>
      <c r="E1191" s="8" t="s">
        <v>4149</v>
      </c>
      <c r="F1191" s="8" t="s">
        <v>4150</v>
      </c>
      <c r="G1191" s="8" t="s">
        <v>4151</v>
      </c>
      <c r="H1191" s="8" t="s">
        <v>22</v>
      </c>
      <c r="I1191" s="8" t="s">
        <v>390</v>
      </c>
      <c r="J1191" s="8" t="s">
        <v>492</v>
      </c>
      <c r="K1191" s="6" t="s">
        <v>104</v>
      </c>
      <c r="L1191" s="7">
        <v>45648</v>
      </c>
      <c r="M1191" s="6" t="s">
        <v>32</v>
      </c>
      <c r="N1191" s="8" t="s">
        <v>4152</v>
      </c>
      <c r="O1191" s="6">
        <f>HYPERLINK("https://docs.wto.org/imrd/directdoc.asp?DDFDocuments/t/G/SPS/NCRI286.DOCX", "https://docs.wto.org/imrd/directdoc.asp?DDFDocuments/t/G/SPS/NCRI286.DOCX")</f>
      </c>
      <c r="P1191" s="6">
        <f>HYPERLINK("https://docs.wto.org/imrd/directdoc.asp?DDFDocuments/u/G/SPS/NCRI286.DOCX", "https://docs.wto.org/imrd/directdoc.asp?DDFDocuments/u/G/SPS/NCRI286.DOCX")</f>
      </c>
      <c r="Q1191" s="6">
        <f>HYPERLINK("https://docs.wto.org/imrd/directdoc.asp?DDFDocuments/v/G/SPS/NCRI286.DOCX", "https://docs.wto.org/imrd/directdoc.asp?DDFDocuments/v/G/SPS/NCRI286.DOCX")</f>
      </c>
    </row>
    <row r="1192">
      <c r="A1192" s="6" t="s">
        <v>170</v>
      </c>
      <c r="B1192" s="7">
        <v>45588</v>
      </c>
      <c r="C1192" s="9">
        <f>HYPERLINK("https://eping.wto.org/en/Search?viewData= G/TBT/N/ARE/451/Add.1, G/TBT/N/BHR/555/Add.1, G/TBT/N/KWT/442/Add.1, G/TBT/N/OMN/388/Add.1, G/TBT/N/QAT/553/Add.1, G/TBT/N/SAU/1095/Add.1, G/TBT/N/YEM/156/Add.1"," G/TBT/N/ARE/451/Add.1, G/TBT/N/BHR/555/Add.1, G/TBT/N/KWT/442/Add.1, G/TBT/N/OMN/388/Add.1, G/TBT/N/QAT/553/Add.1, G/TBT/N/SAU/1095/Add.1, G/TBT/N/YEM/156/Add.1")</f>
      </c>
      <c r="D1192" s="8" t="s">
        <v>3819</v>
      </c>
      <c r="E1192" s="8" t="s">
        <v>4085</v>
      </c>
      <c r="F1192" s="8" t="s">
        <v>3777</v>
      </c>
      <c r="G1192" s="8" t="s">
        <v>4153</v>
      </c>
      <c r="H1192" s="8" t="s">
        <v>3836</v>
      </c>
      <c r="I1192" s="8" t="s">
        <v>88</v>
      </c>
      <c r="J1192" s="8" t="s">
        <v>4154</v>
      </c>
      <c r="K1192" s="6"/>
      <c r="L1192" s="7" t="s">
        <v>22</v>
      </c>
      <c r="M1192" s="6" t="s">
        <v>40</v>
      </c>
      <c r="N1192" s="8" t="s">
        <v>4087</v>
      </c>
      <c r="O1192" s="6">
        <f>HYPERLINK("https://docs.wto.org/imrd/directdoc.asp?DDFDocuments/t/G/TBTN18/ARE451A1.DOCX", "https://docs.wto.org/imrd/directdoc.asp?DDFDocuments/t/G/TBTN18/ARE451A1.DOCX")</f>
      </c>
      <c r="P1192" s="6">
        <f>HYPERLINK("https://docs.wto.org/imrd/directdoc.asp?DDFDocuments/u/G/TBTN18/ARE451A1.DOCX", "https://docs.wto.org/imrd/directdoc.asp?DDFDocuments/u/G/TBTN18/ARE451A1.DOCX")</f>
      </c>
      <c r="Q1192" s="6">
        <f>HYPERLINK("https://docs.wto.org/imrd/directdoc.asp?DDFDocuments/v/G/TBTN18/ARE451A1.DOCX", "https://docs.wto.org/imrd/directdoc.asp?DDFDocuments/v/G/TBTN18/ARE451A1.DOCX")</f>
      </c>
    </row>
    <row r="1193">
      <c r="A1193" s="6" t="s">
        <v>418</v>
      </c>
      <c r="B1193" s="7">
        <v>45588</v>
      </c>
      <c r="C1193" s="9">
        <f>HYPERLINK("https://eping.wto.org/en/Search?viewData= G/SPS/N/EU/763/Add.1"," G/SPS/N/EU/763/Add.1")</f>
      </c>
      <c r="D1193" s="8" t="s">
        <v>4155</v>
      </c>
      <c r="E1193" s="8" t="s">
        <v>4156</v>
      </c>
      <c r="F1193" s="8" t="s">
        <v>1643</v>
      </c>
      <c r="G1193" s="8" t="s">
        <v>4157</v>
      </c>
      <c r="H1193" s="8" t="s">
        <v>22</v>
      </c>
      <c r="I1193" s="8" t="s">
        <v>120</v>
      </c>
      <c r="J1193" s="8" t="s">
        <v>4158</v>
      </c>
      <c r="K1193" s="6"/>
      <c r="L1193" s="7" t="s">
        <v>22</v>
      </c>
      <c r="M1193" s="6" t="s">
        <v>40</v>
      </c>
      <c r="N1193" s="8" t="s">
        <v>4159</v>
      </c>
      <c r="O1193" s="6">
        <f>HYPERLINK("https://docs.wto.org/imrd/directdoc.asp?DDFDocuments/t/G/SPS/NEU763A1.DOCX", "https://docs.wto.org/imrd/directdoc.asp?DDFDocuments/t/G/SPS/NEU763A1.DOCX")</f>
      </c>
      <c r="P1193" s="6">
        <f>HYPERLINK("https://docs.wto.org/imrd/directdoc.asp?DDFDocuments/u/G/SPS/NEU763A1.DOCX", "https://docs.wto.org/imrd/directdoc.asp?DDFDocuments/u/G/SPS/NEU763A1.DOCX")</f>
      </c>
      <c r="Q1193" s="6">
        <f>HYPERLINK("https://docs.wto.org/imrd/directdoc.asp?DDFDocuments/v/G/SPS/NEU763A1.DOCX", "https://docs.wto.org/imrd/directdoc.asp?DDFDocuments/v/G/SPS/NEU763A1.DOCX")</f>
      </c>
    </row>
    <row r="1194">
      <c r="A1194" s="6" t="s">
        <v>53</v>
      </c>
      <c r="B1194" s="7">
        <v>45587</v>
      </c>
      <c r="C1194" s="9">
        <f>HYPERLINK("https://eping.wto.org/en/Search?viewData= G/TBT/N/BDI/247/Add.2, G/TBT/N/KEN/1266/Add.2, G/TBT/N/RWA/677/Add.2, G/TBT/N/TZA/787/Add.2, G/TBT/N/UGA/1601/Add.2"," G/TBT/N/BDI/247/Add.2, G/TBT/N/KEN/1266/Add.2, G/TBT/N/RWA/677/Add.2, G/TBT/N/TZA/787/Add.2, G/TBT/N/UGA/1601/Add.2")</f>
      </c>
      <c r="D1194" s="8" t="s">
        <v>4160</v>
      </c>
      <c r="E1194" s="8" t="s">
        <v>4161</v>
      </c>
      <c r="F1194" s="8" t="s">
        <v>4162</v>
      </c>
      <c r="G1194" s="8" t="s">
        <v>4163</v>
      </c>
      <c r="H1194" s="8" t="s">
        <v>4164</v>
      </c>
      <c r="I1194" s="8" t="s">
        <v>4165</v>
      </c>
      <c r="J1194" s="8" t="s">
        <v>812</v>
      </c>
      <c r="K1194" s="6"/>
      <c r="L1194" s="7" t="s">
        <v>22</v>
      </c>
      <c r="M1194" s="6" t="s">
        <v>40</v>
      </c>
      <c r="N1194" s="6"/>
      <c r="O1194" s="6">
        <f>HYPERLINK("https://docs.wto.org/imrd/directdoc.asp?DDFDocuments/t/G/TBTN22/BDI247A2.DOCX", "https://docs.wto.org/imrd/directdoc.asp?DDFDocuments/t/G/TBTN22/BDI247A2.DOCX")</f>
      </c>
      <c r="P1194" s="6">
        <f>HYPERLINK("https://docs.wto.org/imrd/directdoc.asp?DDFDocuments/u/G/TBTN22/BDI247A2.DOCX", "https://docs.wto.org/imrd/directdoc.asp?DDFDocuments/u/G/TBTN22/BDI247A2.DOCX")</f>
      </c>
      <c r="Q1194" s="6">
        <f>HYPERLINK("https://docs.wto.org/imrd/directdoc.asp?DDFDocuments/v/G/TBTN22/BDI247A2.DOCX", "https://docs.wto.org/imrd/directdoc.asp?DDFDocuments/v/G/TBTN22/BDI247A2.DOCX")</f>
      </c>
    </row>
    <row r="1195">
      <c r="A1195" s="6" t="s">
        <v>49</v>
      </c>
      <c r="B1195" s="7">
        <v>45587</v>
      </c>
      <c r="C1195" s="9">
        <f>HYPERLINK("https://eping.wto.org/en/Search?viewData= G/TBT/N/BDI/267/Add.2, G/TBT/N/KEN/1296/Add.2, G/TBT/N/RWA/702/Add.2, G/TBT/N/TZA/821/Add.2, G/TBT/N/UGA/1676/Add.2"," G/TBT/N/BDI/267/Add.2, G/TBT/N/KEN/1296/Add.2, G/TBT/N/RWA/702/Add.2, G/TBT/N/TZA/821/Add.2, G/TBT/N/UGA/1676/Add.2")</f>
      </c>
      <c r="D1195" s="8" t="s">
        <v>4166</v>
      </c>
      <c r="E1195" s="8" t="s">
        <v>4167</v>
      </c>
      <c r="F1195" s="8" t="s">
        <v>4168</v>
      </c>
      <c r="G1195" s="8" t="s">
        <v>4169</v>
      </c>
      <c r="H1195" s="8" t="s">
        <v>4170</v>
      </c>
      <c r="I1195" s="8" t="s">
        <v>4165</v>
      </c>
      <c r="J1195" s="8" t="s">
        <v>812</v>
      </c>
      <c r="K1195" s="6"/>
      <c r="L1195" s="7" t="s">
        <v>22</v>
      </c>
      <c r="M1195" s="6" t="s">
        <v>40</v>
      </c>
      <c r="N1195" s="6"/>
      <c r="O1195" s="6">
        <f>HYPERLINK("https://docs.wto.org/imrd/directdoc.asp?DDFDocuments/t/G/TBTN22/BDI267A2.DOCX", "https://docs.wto.org/imrd/directdoc.asp?DDFDocuments/t/G/TBTN22/BDI267A2.DOCX")</f>
      </c>
      <c r="P1195" s="6">
        <f>HYPERLINK("https://docs.wto.org/imrd/directdoc.asp?DDFDocuments/u/G/TBTN22/BDI267A2.DOCX", "https://docs.wto.org/imrd/directdoc.asp?DDFDocuments/u/G/TBTN22/BDI267A2.DOCX")</f>
      </c>
      <c r="Q1195" s="6">
        <f>HYPERLINK("https://docs.wto.org/imrd/directdoc.asp?DDFDocuments/v/G/TBTN22/BDI267A2.DOCX", "https://docs.wto.org/imrd/directdoc.asp?DDFDocuments/v/G/TBTN22/BDI267A2.DOCX")</f>
      </c>
    </row>
    <row r="1196">
      <c r="A1196" s="6" t="s">
        <v>60</v>
      </c>
      <c r="B1196" s="7">
        <v>45587</v>
      </c>
      <c r="C1196" s="9">
        <f>HYPERLINK("https://eping.wto.org/en/Search?viewData= G/TBT/N/BDI/246/Add.2, G/TBT/N/KEN/1265/Add.2, G/TBT/N/RWA/676/Add.2, G/TBT/N/TZA/786/Add.2, G/TBT/N/UGA/1600/Add.2"," G/TBT/N/BDI/246/Add.2, G/TBT/N/KEN/1265/Add.2, G/TBT/N/RWA/676/Add.2, G/TBT/N/TZA/786/Add.2, G/TBT/N/UGA/1600/Add.2")</f>
      </c>
      <c r="D1196" s="8" t="s">
        <v>4171</v>
      </c>
      <c r="E1196" s="8" t="s">
        <v>4172</v>
      </c>
      <c r="F1196" s="8" t="s">
        <v>4173</v>
      </c>
      <c r="G1196" s="8" t="s">
        <v>4174</v>
      </c>
      <c r="H1196" s="8" t="s">
        <v>4175</v>
      </c>
      <c r="I1196" s="8" t="s">
        <v>4165</v>
      </c>
      <c r="J1196" s="8" t="s">
        <v>812</v>
      </c>
      <c r="K1196" s="6"/>
      <c r="L1196" s="7" t="s">
        <v>22</v>
      </c>
      <c r="M1196" s="6" t="s">
        <v>40</v>
      </c>
      <c r="N1196" s="6"/>
      <c r="O1196" s="6">
        <f>HYPERLINK("https://docs.wto.org/imrd/directdoc.asp?DDFDocuments/t/G/TBTN22/BDI246A2.DOCX", "https://docs.wto.org/imrd/directdoc.asp?DDFDocuments/t/G/TBTN22/BDI246A2.DOCX")</f>
      </c>
      <c r="P1196" s="6">
        <f>HYPERLINK("https://docs.wto.org/imrd/directdoc.asp?DDFDocuments/u/G/TBTN22/BDI246A2.DOCX", "https://docs.wto.org/imrd/directdoc.asp?DDFDocuments/u/G/TBTN22/BDI246A2.DOCX")</f>
      </c>
      <c r="Q1196" s="6">
        <f>HYPERLINK("https://docs.wto.org/imrd/directdoc.asp?DDFDocuments/v/G/TBTN22/BDI246A2.DOCX", "https://docs.wto.org/imrd/directdoc.asp?DDFDocuments/v/G/TBTN22/BDI246A2.DOCX")</f>
      </c>
    </row>
    <row r="1197">
      <c r="A1197" s="6" t="s">
        <v>60</v>
      </c>
      <c r="B1197" s="7">
        <v>45587</v>
      </c>
      <c r="C1197" s="9">
        <f>HYPERLINK("https://eping.wto.org/en/Search?viewData= G/TBT/N/BDI/244/Add.2, G/TBT/N/KEN/1263/Add.2, G/TBT/N/RWA/674/Add.2, G/TBT/N/TZA/784/Add.2, G/TBT/N/UGA/1598/Add.2"," G/TBT/N/BDI/244/Add.2, G/TBT/N/KEN/1263/Add.2, G/TBT/N/RWA/674/Add.2, G/TBT/N/TZA/784/Add.2, G/TBT/N/UGA/1598/Add.2")</f>
      </c>
      <c r="D1197" s="8" t="s">
        <v>4176</v>
      </c>
      <c r="E1197" s="8" t="s">
        <v>4177</v>
      </c>
      <c r="F1197" s="8" t="s">
        <v>4178</v>
      </c>
      <c r="G1197" s="8" t="s">
        <v>4179</v>
      </c>
      <c r="H1197" s="8" t="s">
        <v>4175</v>
      </c>
      <c r="I1197" s="8" t="s">
        <v>4165</v>
      </c>
      <c r="J1197" s="8" t="s">
        <v>812</v>
      </c>
      <c r="K1197" s="6"/>
      <c r="L1197" s="7" t="s">
        <v>22</v>
      </c>
      <c r="M1197" s="6" t="s">
        <v>40</v>
      </c>
      <c r="N1197" s="6"/>
      <c r="O1197" s="6">
        <f>HYPERLINK("https://docs.wto.org/imrd/directdoc.asp?DDFDocuments/t/G/TBTN22/BDI244A2.DOCX", "https://docs.wto.org/imrd/directdoc.asp?DDFDocuments/t/G/TBTN22/BDI244A2.DOCX")</f>
      </c>
      <c r="P1197" s="6">
        <f>HYPERLINK("https://docs.wto.org/imrd/directdoc.asp?DDFDocuments/u/G/TBTN22/BDI244A2.DOCX", "https://docs.wto.org/imrd/directdoc.asp?DDFDocuments/u/G/TBTN22/BDI244A2.DOCX")</f>
      </c>
      <c r="Q1197" s="6">
        <f>HYPERLINK("https://docs.wto.org/imrd/directdoc.asp?DDFDocuments/v/G/TBTN22/BDI244A2.DOCX", "https://docs.wto.org/imrd/directdoc.asp?DDFDocuments/v/G/TBTN22/BDI244A2.DOCX")</f>
      </c>
    </row>
    <row r="1198">
      <c r="A1198" s="6" t="s">
        <v>49</v>
      </c>
      <c r="B1198" s="7">
        <v>45587</v>
      </c>
      <c r="C1198" s="9">
        <f>HYPERLINK("https://eping.wto.org/en/Search?viewData= G/TBT/N/BDI/311/Add.2, G/TBT/N/KEN/1357/Add.2, G/TBT/N/RWA/752/Add.2, G/TBT/N/TZA/875/Add.2, G/TBT/N/UGA/1722/Add.2"," G/TBT/N/BDI/311/Add.2, G/TBT/N/KEN/1357/Add.2, G/TBT/N/RWA/752/Add.2, G/TBT/N/TZA/875/Add.2, G/TBT/N/UGA/1722/Add.2")</f>
      </c>
      <c r="D1198" s="8" t="s">
        <v>2075</v>
      </c>
      <c r="E1198" s="8" t="s">
        <v>4180</v>
      </c>
      <c r="F1198" s="8" t="s">
        <v>2077</v>
      </c>
      <c r="G1198" s="8" t="s">
        <v>2078</v>
      </c>
      <c r="H1198" s="8" t="s">
        <v>79</v>
      </c>
      <c r="I1198" s="8" t="s">
        <v>4109</v>
      </c>
      <c r="J1198" s="8" t="s">
        <v>812</v>
      </c>
      <c r="K1198" s="6"/>
      <c r="L1198" s="7" t="s">
        <v>22</v>
      </c>
      <c r="M1198" s="6" t="s">
        <v>40</v>
      </c>
      <c r="N1198" s="6"/>
      <c r="O1198" s="6">
        <f>HYPERLINK("https://docs.wto.org/imrd/directdoc.asp?DDFDocuments/t/G/TBTN22/BDI311A2.DOCX", "https://docs.wto.org/imrd/directdoc.asp?DDFDocuments/t/G/TBTN22/BDI311A2.DOCX")</f>
      </c>
      <c r="P1198" s="6">
        <f>HYPERLINK("https://docs.wto.org/imrd/directdoc.asp?DDFDocuments/u/G/TBTN22/BDI311A2.DOCX", "https://docs.wto.org/imrd/directdoc.asp?DDFDocuments/u/G/TBTN22/BDI311A2.DOCX")</f>
      </c>
      <c r="Q1198" s="6">
        <f>HYPERLINK("https://docs.wto.org/imrd/directdoc.asp?DDFDocuments/v/G/TBTN22/BDI311A2.DOCX", "https://docs.wto.org/imrd/directdoc.asp?DDFDocuments/v/G/TBTN22/BDI311A2.DOCX")</f>
      </c>
    </row>
    <row r="1199">
      <c r="A1199" s="6" t="s">
        <v>82</v>
      </c>
      <c r="B1199" s="7">
        <v>45587</v>
      </c>
      <c r="C1199" s="9">
        <f>HYPERLINK("https://eping.wto.org/en/Search?viewData= G/TBT/N/BRA/1572"," G/TBT/N/BRA/1572")</f>
      </c>
      <c r="D1199" s="8" t="s">
        <v>4181</v>
      </c>
      <c r="E1199" s="8" t="s">
        <v>4182</v>
      </c>
      <c r="F1199" s="8" t="s">
        <v>1451</v>
      </c>
      <c r="G1199" s="8" t="s">
        <v>22</v>
      </c>
      <c r="H1199" s="8" t="s">
        <v>1453</v>
      </c>
      <c r="I1199" s="8" t="s">
        <v>39</v>
      </c>
      <c r="J1199" s="8" t="s">
        <v>139</v>
      </c>
      <c r="K1199" s="6"/>
      <c r="L1199" s="7">
        <v>45649</v>
      </c>
      <c r="M1199" s="6" t="s">
        <v>32</v>
      </c>
      <c r="N1199" s="8" t="s">
        <v>4183</v>
      </c>
      <c r="O1199" s="6">
        <f>HYPERLINK("https://docs.wto.org/imrd/directdoc.asp?DDFDocuments/t/G/TBTN24/BRA1572.DOCX", "https://docs.wto.org/imrd/directdoc.asp?DDFDocuments/t/G/TBTN24/BRA1572.DOCX")</f>
      </c>
      <c r="P1199" s="6">
        <f>HYPERLINK("https://docs.wto.org/imrd/directdoc.asp?DDFDocuments/u/G/TBTN24/BRA1572.DOCX", "https://docs.wto.org/imrd/directdoc.asp?DDFDocuments/u/G/TBTN24/BRA1572.DOCX")</f>
      </c>
      <c r="Q1199" s="6">
        <f>HYPERLINK("https://docs.wto.org/imrd/directdoc.asp?DDFDocuments/v/G/TBTN24/BRA1572.DOCX", "https://docs.wto.org/imrd/directdoc.asp?DDFDocuments/v/G/TBTN24/BRA1572.DOCX")</f>
      </c>
    </row>
    <row r="1200">
      <c r="A1200" s="6" t="s">
        <v>68</v>
      </c>
      <c r="B1200" s="7">
        <v>45587</v>
      </c>
      <c r="C1200" s="9">
        <f>HYPERLINK("https://eping.wto.org/en/Search?viewData= G/TBT/N/BDI/279/Add.2, G/TBT/N/KEN/1313/Add.2, G/TBT/N/RWA/713/Add.2, G/TBT/N/TZA/832/Add.2, G/TBT/N/UGA/1687/Add.2"," G/TBT/N/BDI/279/Add.2, G/TBT/N/KEN/1313/Add.2, G/TBT/N/RWA/713/Add.2, G/TBT/N/TZA/832/Add.2, G/TBT/N/UGA/1687/Add.2")</f>
      </c>
      <c r="D1200" s="8" t="s">
        <v>4184</v>
      </c>
      <c r="E1200" s="8" t="s">
        <v>4185</v>
      </c>
      <c r="F1200" s="8" t="s">
        <v>4186</v>
      </c>
      <c r="G1200" s="8" t="s">
        <v>2144</v>
      </c>
      <c r="H1200" s="8" t="s">
        <v>2073</v>
      </c>
      <c r="I1200" s="8" t="s">
        <v>4187</v>
      </c>
      <c r="J1200" s="8" t="s">
        <v>81</v>
      </c>
      <c r="K1200" s="6"/>
      <c r="L1200" s="7" t="s">
        <v>22</v>
      </c>
      <c r="M1200" s="6" t="s">
        <v>40</v>
      </c>
      <c r="N1200" s="6"/>
      <c r="O1200" s="6">
        <f>HYPERLINK("https://docs.wto.org/imrd/directdoc.asp?DDFDocuments/t/G/TBTN22/BDI279A2.DOCX", "https://docs.wto.org/imrd/directdoc.asp?DDFDocuments/t/G/TBTN22/BDI279A2.DOCX")</f>
      </c>
      <c r="P1200" s="6">
        <f>HYPERLINK("https://docs.wto.org/imrd/directdoc.asp?DDFDocuments/u/G/TBTN22/BDI279A2.DOCX", "https://docs.wto.org/imrd/directdoc.asp?DDFDocuments/u/G/TBTN22/BDI279A2.DOCX")</f>
      </c>
      <c r="Q1200" s="6">
        <f>HYPERLINK("https://docs.wto.org/imrd/directdoc.asp?DDFDocuments/v/G/TBTN22/BDI279A2.DOCX", "https://docs.wto.org/imrd/directdoc.asp?DDFDocuments/v/G/TBTN22/BDI279A2.DOCX")</f>
      </c>
    </row>
    <row r="1201">
      <c r="A1201" s="6" t="s">
        <v>400</v>
      </c>
      <c r="B1201" s="7">
        <v>45587</v>
      </c>
      <c r="C1201" s="9">
        <f>HYPERLINK("https://eping.wto.org/en/Search?viewData= G/TBT/N/USA/2039/Add.1"," G/TBT/N/USA/2039/Add.1")</f>
      </c>
      <c r="D1201" s="8" t="s">
        <v>4188</v>
      </c>
      <c r="E1201" s="8" t="s">
        <v>4189</v>
      </c>
      <c r="F1201" s="8" t="s">
        <v>4190</v>
      </c>
      <c r="G1201" s="8" t="s">
        <v>22</v>
      </c>
      <c r="H1201" s="8" t="s">
        <v>4191</v>
      </c>
      <c r="I1201" s="8" t="s">
        <v>2422</v>
      </c>
      <c r="J1201" s="8" t="s">
        <v>22</v>
      </c>
      <c r="K1201" s="6"/>
      <c r="L1201" s="7" t="s">
        <v>22</v>
      </c>
      <c r="M1201" s="6" t="s">
        <v>40</v>
      </c>
      <c r="N1201" s="8" t="s">
        <v>4192</v>
      </c>
      <c r="O1201" s="6">
        <f>HYPERLINK("https://docs.wto.org/imrd/directdoc.asp?DDFDocuments/t/G/TBTN23/USA2039A1.DOCX", "https://docs.wto.org/imrd/directdoc.asp?DDFDocuments/t/G/TBTN23/USA2039A1.DOCX")</f>
      </c>
      <c r="P1201" s="6">
        <f>HYPERLINK("https://docs.wto.org/imrd/directdoc.asp?DDFDocuments/u/G/TBTN23/USA2039A1.DOCX", "https://docs.wto.org/imrd/directdoc.asp?DDFDocuments/u/G/TBTN23/USA2039A1.DOCX")</f>
      </c>
      <c r="Q1201" s="6">
        <f>HYPERLINK("https://docs.wto.org/imrd/directdoc.asp?DDFDocuments/v/G/TBTN23/USA2039A1.DOCX", "https://docs.wto.org/imrd/directdoc.asp?DDFDocuments/v/G/TBTN23/USA2039A1.DOCX")</f>
      </c>
    </row>
    <row r="1202">
      <c r="A1202" s="6" t="s">
        <v>53</v>
      </c>
      <c r="B1202" s="7">
        <v>45587</v>
      </c>
      <c r="C1202" s="9">
        <f>HYPERLINK("https://eping.wto.org/en/Search?viewData= G/TBT/N/BDI/268/Add.2, G/TBT/N/KEN/1297/Add.2, G/TBT/N/RWA/703/Add.2, G/TBT/N/TZA/822/Add.2, G/TBT/N/UGA/1677/Add.2"," G/TBT/N/BDI/268/Add.2, G/TBT/N/KEN/1297/Add.2, G/TBT/N/RWA/703/Add.2, G/TBT/N/TZA/822/Add.2, G/TBT/N/UGA/1677/Add.2")</f>
      </c>
      <c r="D1202" s="8" t="s">
        <v>4193</v>
      </c>
      <c r="E1202" s="8" t="s">
        <v>4194</v>
      </c>
      <c r="F1202" s="8" t="s">
        <v>4168</v>
      </c>
      <c r="G1202" s="8" t="s">
        <v>4169</v>
      </c>
      <c r="H1202" s="8" t="s">
        <v>4170</v>
      </c>
      <c r="I1202" s="8" t="s">
        <v>4165</v>
      </c>
      <c r="J1202" s="8" t="s">
        <v>812</v>
      </c>
      <c r="K1202" s="6"/>
      <c r="L1202" s="7" t="s">
        <v>22</v>
      </c>
      <c r="M1202" s="6" t="s">
        <v>40</v>
      </c>
      <c r="N1202" s="6"/>
      <c r="O1202" s="6">
        <f>HYPERLINK("https://docs.wto.org/imrd/directdoc.asp?DDFDocuments/t/G/TBTN22/BDI268A2.DOCX", "https://docs.wto.org/imrd/directdoc.asp?DDFDocuments/t/G/TBTN22/BDI268A2.DOCX")</f>
      </c>
      <c r="P1202" s="6">
        <f>HYPERLINK("https://docs.wto.org/imrd/directdoc.asp?DDFDocuments/u/G/TBTN22/BDI268A2.DOCX", "https://docs.wto.org/imrd/directdoc.asp?DDFDocuments/u/G/TBTN22/BDI268A2.DOCX")</f>
      </c>
      <c r="Q1202" s="6">
        <f>HYPERLINK("https://docs.wto.org/imrd/directdoc.asp?DDFDocuments/v/G/TBTN22/BDI268A2.DOCX", "https://docs.wto.org/imrd/directdoc.asp?DDFDocuments/v/G/TBTN22/BDI268A2.DOCX")</f>
      </c>
    </row>
    <row r="1203">
      <c r="A1203" s="6" t="s">
        <v>49</v>
      </c>
      <c r="B1203" s="7">
        <v>45587</v>
      </c>
      <c r="C1203" s="9">
        <f>HYPERLINK("https://eping.wto.org/en/Search?viewData= G/TBT/N/BDI/230/Add.2, G/TBT/N/KEN/1239/Add.2, G/TBT/N/RWA/656/Add.2, G/TBT/N/TZA/731/Add.2, G/TBT/N/UGA/1563/Add.2"," G/TBT/N/BDI/230/Add.2, G/TBT/N/KEN/1239/Add.2, G/TBT/N/RWA/656/Add.2, G/TBT/N/TZA/731/Add.2, G/TBT/N/UGA/1563/Add.2")</f>
      </c>
      <c r="D1203" s="8" t="s">
        <v>4195</v>
      </c>
      <c r="E1203" s="8" t="s">
        <v>4196</v>
      </c>
      <c r="F1203" s="8" t="s">
        <v>4197</v>
      </c>
      <c r="G1203" s="8" t="s">
        <v>22</v>
      </c>
      <c r="H1203" s="8" t="s">
        <v>2602</v>
      </c>
      <c r="I1203" s="8" t="s">
        <v>4198</v>
      </c>
      <c r="J1203" s="8" t="s">
        <v>4199</v>
      </c>
      <c r="K1203" s="6"/>
      <c r="L1203" s="7" t="s">
        <v>22</v>
      </c>
      <c r="M1203" s="6" t="s">
        <v>40</v>
      </c>
      <c r="N1203" s="6"/>
      <c r="O1203" s="6">
        <f>HYPERLINK("https://docs.wto.org/imrd/directdoc.asp?DDFDocuments/t/G/TBTN22/BDI230A2.DOCX", "https://docs.wto.org/imrd/directdoc.asp?DDFDocuments/t/G/TBTN22/BDI230A2.DOCX")</f>
      </c>
      <c r="P1203" s="6">
        <f>HYPERLINK("https://docs.wto.org/imrd/directdoc.asp?DDFDocuments/u/G/TBTN22/BDI230A2.DOCX", "https://docs.wto.org/imrd/directdoc.asp?DDFDocuments/u/G/TBTN22/BDI230A2.DOCX")</f>
      </c>
      <c r="Q1203" s="6">
        <f>HYPERLINK("https://docs.wto.org/imrd/directdoc.asp?DDFDocuments/v/G/TBTN22/BDI230A2.DOCX", "https://docs.wto.org/imrd/directdoc.asp?DDFDocuments/v/G/TBTN22/BDI230A2.DOCX")</f>
      </c>
    </row>
    <row r="1204">
      <c r="A1204" s="6" t="s">
        <v>49</v>
      </c>
      <c r="B1204" s="7">
        <v>45587</v>
      </c>
      <c r="C1204" s="9">
        <f>HYPERLINK("https://eping.wto.org/en/Search?viewData= G/TBT/N/BDI/312/Add.2, G/TBT/N/KEN/1358/Add.2, G/TBT/N/RWA/753/Add.2, G/TBT/N/TZA/876/Add.2, G/TBT/N/UGA/1723/Add.2"," G/TBT/N/BDI/312/Add.2, G/TBT/N/KEN/1358/Add.2, G/TBT/N/RWA/753/Add.2, G/TBT/N/TZA/876/Add.2, G/TBT/N/UGA/1723/Add.2")</f>
      </c>
      <c r="D1204" s="8" t="s">
        <v>2091</v>
      </c>
      <c r="E1204" s="8" t="s">
        <v>4200</v>
      </c>
      <c r="F1204" s="8" t="s">
        <v>2093</v>
      </c>
      <c r="G1204" s="8" t="s">
        <v>2094</v>
      </c>
      <c r="H1204" s="8" t="s">
        <v>79</v>
      </c>
      <c r="I1204" s="8" t="s">
        <v>4109</v>
      </c>
      <c r="J1204" s="8" t="s">
        <v>812</v>
      </c>
      <c r="K1204" s="6"/>
      <c r="L1204" s="7" t="s">
        <v>22</v>
      </c>
      <c r="M1204" s="6" t="s">
        <v>40</v>
      </c>
      <c r="N1204" s="6"/>
      <c r="O1204" s="6">
        <f>HYPERLINK("https://docs.wto.org/imrd/directdoc.asp?DDFDocuments/t/G/TBTN22/BDI312A2.DOCX", "https://docs.wto.org/imrd/directdoc.asp?DDFDocuments/t/G/TBTN22/BDI312A2.DOCX")</f>
      </c>
      <c r="P1204" s="6">
        <f>HYPERLINK("https://docs.wto.org/imrd/directdoc.asp?DDFDocuments/u/G/TBTN22/BDI312A2.DOCX", "https://docs.wto.org/imrd/directdoc.asp?DDFDocuments/u/G/TBTN22/BDI312A2.DOCX")</f>
      </c>
      <c r="Q1204" s="6">
        <f>HYPERLINK("https://docs.wto.org/imrd/directdoc.asp?DDFDocuments/v/G/TBTN22/BDI312A2.DOCX", "https://docs.wto.org/imrd/directdoc.asp?DDFDocuments/v/G/TBTN22/BDI312A2.DOCX")</f>
      </c>
    </row>
    <row r="1205">
      <c r="A1205" s="6" t="s">
        <v>68</v>
      </c>
      <c r="B1205" s="7">
        <v>45587</v>
      </c>
      <c r="C1205" s="9">
        <f>HYPERLINK("https://eping.wto.org/en/Search?viewData= G/TBT/N/BDI/269/Add.2, G/TBT/N/KEN/1298/Add.2, G/TBT/N/RWA/704/Add.2, G/TBT/N/TZA/823/Add.2, G/TBT/N/UGA/1678/Add.2"," G/TBT/N/BDI/269/Add.2, G/TBT/N/KEN/1298/Add.2, G/TBT/N/RWA/704/Add.2, G/TBT/N/TZA/823/Add.2, G/TBT/N/UGA/1678/Add.2")</f>
      </c>
      <c r="D1205" s="8" t="s">
        <v>4201</v>
      </c>
      <c r="E1205" s="8" t="s">
        <v>4202</v>
      </c>
      <c r="F1205" s="8" t="s">
        <v>4168</v>
      </c>
      <c r="G1205" s="8" t="s">
        <v>4169</v>
      </c>
      <c r="H1205" s="8" t="s">
        <v>4170</v>
      </c>
      <c r="I1205" s="8" t="s">
        <v>1067</v>
      </c>
      <c r="J1205" s="8" t="s">
        <v>81</v>
      </c>
      <c r="K1205" s="6"/>
      <c r="L1205" s="7" t="s">
        <v>22</v>
      </c>
      <c r="M1205" s="6" t="s">
        <v>40</v>
      </c>
      <c r="N1205" s="6"/>
      <c r="O1205" s="6">
        <f>HYPERLINK("https://docs.wto.org/imrd/directdoc.asp?DDFDocuments/t/G/TBTN23/BDI269A2.DOCX", "https://docs.wto.org/imrd/directdoc.asp?DDFDocuments/t/G/TBTN23/BDI269A2.DOCX")</f>
      </c>
      <c r="P1205" s="6">
        <f>HYPERLINK("https://docs.wto.org/imrd/directdoc.asp?DDFDocuments/u/G/TBTN23/BDI269A2.DOCX", "https://docs.wto.org/imrd/directdoc.asp?DDFDocuments/u/G/TBTN23/BDI269A2.DOCX")</f>
      </c>
      <c r="Q1205" s="6">
        <f>HYPERLINK("https://docs.wto.org/imrd/directdoc.asp?DDFDocuments/v/G/TBTN23/BDI269A2.DOCX", "https://docs.wto.org/imrd/directdoc.asp?DDFDocuments/v/G/TBTN23/BDI269A2.DOCX")</f>
      </c>
    </row>
    <row r="1206">
      <c r="A1206" s="6" t="s">
        <v>68</v>
      </c>
      <c r="B1206" s="7">
        <v>45587</v>
      </c>
      <c r="C1206" s="9">
        <f>HYPERLINK("https://eping.wto.org/en/Search?viewData= G/TBT/N/BDI/310/Add.1, G/TBT/N/KEN/1356/Add.1, G/TBT/N/RWA/751/Add.1, G/TBT/N/TZA/874/Add.1, G/TBT/N/UGA/1721/Add.1"," G/TBT/N/BDI/310/Add.1, G/TBT/N/KEN/1356/Add.1, G/TBT/N/RWA/751/Add.1, G/TBT/N/TZA/874/Add.1, G/TBT/N/UGA/1721/Add.1")</f>
      </c>
      <c r="D1206" s="8" t="s">
        <v>2109</v>
      </c>
      <c r="E1206" s="8" t="s">
        <v>4203</v>
      </c>
      <c r="F1206" s="8" t="s">
        <v>2111</v>
      </c>
      <c r="G1206" s="8" t="s">
        <v>2112</v>
      </c>
      <c r="H1206" s="8" t="s">
        <v>79</v>
      </c>
      <c r="I1206" s="8" t="s">
        <v>1805</v>
      </c>
      <c r="J1206" s="8" t="s">
        <v>81</v>
      </c>
      <c r="K1206" s="6"/>
      <c r="L1206" s="7" t="s">
        <v>22</v>
      </c>
      <c r="M1206" s="6" t="s">
        <v>40</v>
      </c>
      <c r="N1206" s="6"/>
      <c r="O1206" s="6">
        <f>HYPERLINK("https://docs.wto.org/imrd/directdoc.asp?DDFDocuments/t/G/TBTN22/BDI310A1.DOCX", "https://docs.wto.org/imrd/directdoc.asp?DDFDocuments/t/G/TBTN22/BDI310A1.DOCX")</f>
      </c>
      <c r="P1206" s="6">
        <f>HYPERLINK("https://docs.wto.org/imrd/directdoc.asp?DDFDocuments/u/G/TBTN22/BDI310A1.DOCX", "https://docs.wto.org/imrd/directdoc.asp?DDFDocuments/u/G/TBTN22/BDI310A1.DOCX")</f>
      </c>
      <c r="Q1206" s="6">
        <f>HYPERLINK("https://docs.wto.org/imrd/directdoc.asp?DDFDocuments/v/G/TBTN22/BDI310A1.DOCX", "https://docs.wto.org/imrd/directdoc.asp?DDFDocuments/v/G/TBTN22/BDI310A1.DOCX")</f>
      </c>
    </row>
    <row r="1207">
      <c r="A1207" s="6" t="s">
        <v>68</v>
      </c>
      <c r="B1207" s="7">
        <v>45587</v>
      </c>
      <c r="C1207" s="9">
        <f>HYPERLINK("https://eping.wto.org/en/Search?viewData= G/TBT/N/BDI/312/Add.2, G/TBT/N/KEN/1358/Add.2, G/TBT/N/RWA/753/Add.2, G/TBT/N/TZA/876/Add.2, G/TBT/N/UGA/1723/Add.2"," G/TBT/N/BDI/312/Add.2, G/TBT/N/KEN/1358/Add.2, G/TBT/N/RWA/753/Add.2, G/TBT/N/TZA/876/Add.2, G/TBT/N/UGA/1723/Add.2")</f>
      </c>
      <c r="D1207" s="8" t="s">
        <v>2091</v>
      </c>
      <c r="E1207" s="8" t="s">
        <v>4200</v>
      </c>
      <c r="F1207" s="8" t="s">
        <v>2093</v>
      </c>
      <c r="G1207" s="8" t="s">
        <v>2094</v>
      </c>
      <c r="H1207" s="8" t="s">
        <v>79</v>
      </c>
      <c r="I1207" s="8" t="s">
        <v>1805</v>
      </c>
      <c r="J1207" s="8" t="s">
        <v>81</v>
      </c>
      <c r="K1207" s="6"/>
      <c r="L1207" s="7" t="s">
        <v>22</v>
      </c>
      <c r="M1207" s="6" t="s">
        <v>40</v>
      </c>
      <c r="N1207" s="6"/>
      <c r="O1207" s="6">
        <f>HYPERLINK("https://docs.wto.org/imrd/directdoc.asp?DDFDocuments/t/G/TBTN22/BDI312A2.DOCX", "https://docs.wto.org/imrd/directdoc.asp?DDFDocuments/t/G/TBTN22/BDI312A2.DOCX")</f>
      </c>
      <c r="P1207" s="6">
        <f>HYPERLINK("https://docs.wto.org/imrd/directdoc.asp?DDFDocuments/u/G/TBTN22/BDI312A2.DOCX", "https://docs.wto.org/imrd/directdoc.asp?DDFDocuments/u/G/TBTN22/BDI312A2.DOCX")</f>
      </c>
      <c r="Q1207" s="6">
        <f>HYPERLINK("https://docs.wto.org/imrd/directdoc.asp?DDFDocuments/v/G/TBTN22/BDI312A2.DOCX", "https://docs.wto.org/imrd/directdoc.asp?DDFDocuments/v/G/TBTN22/BDI312A2.DOCX")</f>
      </c>
    </row>
    <row r="1208">
      <c r="A1208" s="6" t="s">
        <v>68</v>
      </c>
      <c r="B1208" s="7">
        <v>45587</v>
      </c>
      <c r="C1208" s="9">
        <f>HYPERLINK("https://eping.wto.org/en/Search?viewData= G/TBT/N/BDI/229/Add.2, G/TBT/N/KEN/1238/Add.2, G/TBT/N/RWA/655/Add.2, G/TBT/N/TZA/730/Add.2, G/TBT/N/UGA/1562/Add.2"," G/TBT/N/BDI/229/Add.2, G/TBT/N/KEN/1238/Add.2, G/TBT/N/RWA/655/Add.2, G/TBT/N/TZA/730/Add.2, G/TBT/N/UGA/1562/Add.2")</f>
      </c>
      <c r="D1208" s="8" t="s">
        <v>4204</v>
      </c>
      <c r="E1208" s="8" t="s">
        <v>4205</v>
      </c>
      <c r="F1208" s="8" t="s">
        <v>4197</v>
      </c>
      <c r="G1208" s="8" t="s">
        <v>22</v>
      </c>
      <c r="H1208" s="8" t="s">
        <v>2602</v>
      </c>
      <c r="I1208" s="8" t="s">
        <v>4206</v>
      </c>
      <c r="J1208" s="8" t="s">
        <v>81</v>
      </c>
      <c r="K1208" s="6"/>
      <c r="L1208" s="7" t="s">
        <v>22</v>
      </c>
      <c r="M1208" s="6" t="s">
        <v>40</v>
      </c>
      <c r="N1208" s="6"/>
      <c r="O1208" s="6">
        <f>HYPERLINK("https://docs.wto.org/imrd/directdoc.asp?DDFDocuments/t/G/TBTN22/BDI229A2.DOCX", "https://docs.wto.org/imrd/directdoc.asp?DDFDocuments/t/G/TBTN22/BDI229A2.DOCX")</f>
      </c>
      <c r="P1208" s="6">
        <f>HYPERLINK("https://docs.wto.org/imrd/directdoc.asp?DDFDocuments/u/G/TBTN22/BDI229A2.DOCX", "https://docs.wto.org/imrd/directdoc.asp?DDFDocuments/u/G/TBTN22/BDI229A2.DOCX")</f>
      </c>
      <c r="Q1208" s="6">
        <f>HYPERLINK("https://docs.wto.org/imrd/directdoc.asp?DDFDocuments/v/G/TBTN22/BDI229A2.DOCX", "https://docs.wto.org/imrd/directdoc.asp?DDFDocuments/v/G/TBTN22/BDI229A2.DOCX")</f>
      </c>
    </row>
    <row r="1209">
      <c r="A1209" s="6" t="s">
        <v>1936</v>
      </c>
      <c r="B1209" s="7">
        <v>45587</v>
      </c>
      <c r="C1209" s="9">
        <f>HYPERLINK("https://eping.wto.org/en/Search?viewData= G/TBT/N/ISR/1358"," G/TBT/N/ISR/1358")</f>
      </c>
      <c r="D1209" s="8" t="s">
        <v>4207</v>
      </c>
      <c r="E1209" s="8" t="s">
        <v>4208</v>
      </c>
      <c r="F1209" s="8" t="s">
        <v>4209</v>
      </c>
      <c r="G1209" s="8" t="s">
        <v>4210</v>
      </c>
      <c r="H1209" s="8" t="s">
        <v>4211</v>
      </c>
      <c r="I1209" s="8" t="s">
        <v>39</v>
      </c>
      <c r="J1209" s="8" t="s">
        <v>22</v>
      </c>
      <c r="K1209" s="6"/>
      <c r="L1209" s="7">
        <v>45647</v>
      </c>
      <c r="M1209" s="6" t="s">
        <v>32</v>
      </c>
      <c r="N1209" s="8" t="s">
        <v>4212</v>
      </c>
      <c r="O1209" s="6">
        <f>HYPERLINK("https://docs.wto.org/imrd/directdoc.asp?DDFDocuments/t/G/TBTN24/ISR1358.DOCX", "https://docs.wto.org/imrd/directdoc.asp?DDFDocuments/t/G/TBTN24/ISR1358.DOCX")</f>
      </c>
      <c r="P1209" s="6">
        <f>HYPERLINK("https://docs.wto.org/imrd/directdoc.asp?DDFDocuments/u/G/TBTN24/ISR1358.DOCX", "https://docs.wto.org/imrd/directdoc.asp?DDFDocuments/u/G/TBTN24/ISR1358.DOCX")</f>
      </c>
      <c r="Q1209" s="6">
        <f>HYPERLINK("https://docs.wto.org/imrd/directdoc.asp?DDFDocuments/v/G/TBTN24/ISR1358.DOCX", "https://docs.wto.org/imrd/directdoc.asp?DDFDocuments/v/G/TBTN24/ISR1358.DOCX")</f>
      </c>
    </row>
    <row r="1210">
      <c r="A1210" s="6" t="s">
        <v>513</v>
      </c>
      <c r="B1210" s="7">
        <v>45587</v>
      </c>
      <c r="C1210" s="9">
        <f>HYPERLINK("https://eping.wto.org/en/Search?viewData= G/SPS/N/IND/314"," G/SPS/N/IND/314")</f>
      </c>
      <c r="D1210" s="8" t="s">
        <v>4213</v>
      </c>
      <c r="E1210" s="8" t="s">
        <v>4214</v>
      </c>
      <c r="F1210" s="8" t="s">
        <v>149</v>
      </c>
      <c r="G1210" s="8" t="s">
        <v>22</v>
      </c>
      <c r="H1210" s="8" t="s">
        <v>22</v>
      </c>
      <c r="I1210" s="8" t="s">
        <v>120</v>
      </c>
      <c r="J1210" s="8" t="s">
        <v>416</v>
      </c>
      <c r="K1210" s="6" t="s">
        <v>22</v>
      </c>
      <c r="L1210" s="7">
        <v>45647</v>
      </c>
      <c r="M1210" s="6" t="s">
        <v>32</v>
      </c>
      <c r="N1210" s="8" t="s">
        <v>4215</v>
      </c>
      <c r="O1210" s="6">
        <f>HYPERLINK("https://docs.wto.org/imrd/directdoc.asp?DDFDocuments/t/G/SPS/NIND314.DOCX", "https://docs.wto.org/imrd/directdoc.asp?DDFDocuments/t/G/SPS/NIND314.DOCX")</f>
      </c>
      <c r="P1210" s="6">
        <f>HYPERLINK("https://docs.wto.org/imrd/directdoc.asp?DDFDocuments/u/G/SPS/NIND314.DOCX", "https://docs.wto.org/imrd/directdoc.asp?DDFDocuments/u/G/SPS/NIND314.DOCX")</f>
      </c>
      <c r="Q1210" s="6">
        <f>HYPERLINK("https://docs.wto.org/imrd/directdoc.asp?DDFDocuments/v/G/SPS/NIND314.DOCX", "https://docs.wto.org/imrd/directdoc.asp?DDFDocuments/v/G/SPS/NIND314.DOCX")</f>
      </c>
    </row>
    <row r="1211">
      <c r="A1211" s="6" t="s">
        <v>82</v>
      </c>
      <c r="B1211" s="7">
        <v>45587</v>
      </c>
      <c r="C1211" s="9">
        <f>HYPERLINK("https://eping.wto.org/en/Search?viewData= G/TBT/N/BRA/1455/Add.2"," G/TBT/N/BRA/1455/Add.2")</f>
      </c>
      <c r="D1211" s="8" t="s">
        <v>4216</v>
      </c>
      <c r="E1211" s="8" t="s">
        <v>4217</v>
      </c>
      <c r="F1211" s="8" t="s">
        <v>1451</v>
      </c>
      <c r="G1211" s="8" t="s">
        <v>22</v>
      </c>
      <c r="H1211" s="8" t="s">
        <v>2348</v>
      </c>
      <c r="I1211" s="8" t="s">
        <v>39</v>
      </c>
      <c r="J1211" s="8" t="s">
        <v>266</v>
      </c>
      <c r="K1211" s="6"/>
      <c r="L1211" s="7" t="s">
        <v>22</v>
      </c>
      <c r="M1211" s="6" t="s">
        <v>40</v>
      </c>
      <c r="N1211" s="6"/>
      <c r="O1211" s="6">
        <f>HYPERLINK("https://docs.wto.org/imrd/directdoc.asp?DDFDocuments/t/G/TBTN22/BRA1455A2.DOCX", "https://docs.wto.org/imrd/directdoc.asp?DDFDocuments/t/G/TBTN22/BRA1455A2.DOCX")</f>
      </c>
      <c r="P1211" s="6">
        <f>HYPERLINK("https://docs.wto.org/imrd/directdoc.asp?DDFDocuments/u/G/TBTN22/BRA1455A2.DOCX", "https://docs.wto.org/imrd/directdoc.asp?DDFDocuments/u/G/TBTN22/BRA1455A2.DOCX")</f>
      </c>
      <c r="Q1211" s="6">
        <f>HYPERLINK("https://docs.wto.org/imrd/directdoc.asp?DDFDocuments/v/G/TBTN22/BRA1455A2.DOCX", "https://docs.wto.org/imrd/directdoc.asp?DDFDocuments/v/G/TBTN22/BRA1455A2.DOCX")</f>
      </c>
    </row>
    <row r="1212">
      <c r="A1212" s="6" t="s">
        <v>60</v>
      </c>
      <c r="B1212" s="7">
        <v>45587</v>
      </c>
      <c r="C1212" s="9">
        <f>HYPERLINK("https://eping.wto.org/en/Search?viewData= G/TBT/N/BDI/267/Add.2, G/TBT/N/KEN/1296/Add.2, G/TBT/N/RWA/702/Add.2, G/TBT/N/TZA/821/Add.2, G/TBT/N/UGA/1676/Add.2"," G/TBT/N/BDI/267/Add.2, G/TBT/N/KEN/1296/Add.2, G/TBT/N/RWA/702/Add.2, G/TBT/N/TZA/821/Add.2, G/TBT/N/UGA/1676/Add.2")</f>
      </c>
      <c r="D1212" s="8" t="s">
        <v>4166</v>
      </c>
      <c r="E1212" s="8" t="s">
        <v>4167</v>
      </c>
      <c r="F1212" s="8" t="s">
        <v>4168</v>
      </c>
      <c r="G1212" s="8" t="s">
        <v>4169</v>
      </c>
      <c r="H1212" s="8" t="s">
        <v>4170</v>
      </c>
      <c r="I1212" s="8" t="s">
        <v>4165</v>
      </c>
      <c r="J1212" s="8" t="s">
        <v>812</v>
      </c>
      <c r="K1212" s="6"/>
      <c r="L1212" s="7" t="s">
        <v>22</v>
      </c>
      <c r="M1212" s="6" t="s">
        <v>40</v>
      </c>
      <c r="N1212" s="6"/>
      <c r="O1212" s="6">
        <f>HYPERLINK("https://docs.wto.org/imrd/directdoc.asp?DDFDocuments/t/G/TBTN22/BDI267A2.DOCX", "https://docs.wto.org/imrd/directdoc.asp?DDFDocuments/t/G/TBTN22/BDI267A2.DOCX")</f>
      </c>
      <c r="P1212" s="6">
        <f>HYPERLINK("https://docs.wto.org/imrd/directdoc.asp?DDFDocuments/u/G/TBTN22/BDI267A2.DOCX", "https://docs.wto.org/imrd/directdoc.asp?DDFDocuments/u/G/TBTN22/BDI267A2.DOCX")</f>
      </c>
      <c r="Q1212" s="6">
        <f>HYPERLINK("https://docs.wto.org/imrd/directdoc.asp?DDFDocuments/v/G/TBTN22/BDI267A2.DOCX", "https://docs.wto.org/imrd/directdoc.asp?DDFDocuments/v/G/TBTN22/BDI267A2.DOCX")</f>
      </c>
    </row>
    <row r="1213">
      <c r="A1213" s="6" t="s">
        <v>60</v>
      </c>
      <c r="B1213" s="7">
        <v>45587</v>
      </c>
      <c r="C1213" s="9">
        <f>HYPERLINK("https://eping.wto.org/en/Search?viewData= G/TBT/N/BDI/269/Add.2, G/TBT/N/KEN/1298/Add.2, G/TBT/N/RWA/704/Add.2, G/TBT/N/TZA/823/Add.2, G/TBT/N/UGA/1678/Add.2"," G/TBT/N/BDI/269/Add.2, G/TBT/N/KEN/1298/Add.2, G/TBT/N/RWA/704/Add.2, G/TBT/N/TZA/823/Add.2, G/TBT/N/UGA/1678/Add.2")</f>
      </c>
      <c r="D1213" s="8" t="s">
        <v>4201</v>
      </c>
      <c r="E1213" s="8" t="s">
        <v>4202</v>
      </c>
      <c r="F1213" s="8" t="s">
        <v>4168</v>
      </c>
      <c r="G1213" s="8" t="s">
        <v>4169</v>
      </c>
      <c r="H1213" s="8" t="s">
        <v>4170</v>
      </c>
      <c r="I1213" s="8" t="s">
        <v>4165</v>
      </c>
      <c r="J1213" s="8" t="s">
        <v>812</v>
      </c>
      <c r="K1213" s="6"/>
      <c r="L1213" s="7" t="s">
        <v>22</v>
      </c>
      <c r="M1213" s="6" t="s">
        <v>40</v>
      </c>
      <c r="N1213" s="6"/>
      <c r="O1213" s="6">
        <f>HYPERLINK("https://docs.wto.org/imrd/directdoc.asp?DDFDocuments/t/G/TBTN23/BDI269A2.DOCX", "https://docs.wto.org/imrd/directdoc.asp?DDFDocuments/t/G/TBTN23/BDI269A2.DOCX")</f>
      </c>
      <c r="P1213" s="6">
        <f>HYPERLINK("https://docs.wto.org/imrd/directdoc.asp?DDFDocuments/u/G/TBTN23/BDI269A2.DOCX", "https://docs.wto.org/imrd/directdoc.asp?DDFDocuments/u/G/TBTN23/BDI269A2.DOCX")</f>
      </c>
      <c r="Q1213" s="6">
        <f>HYPERLINK("https://docs.wto.org/imrd/directdoc.asp?DDFDocuments/v/G/TBTN23/BDI269A2.DOCX", "https://docs.wto.org/imrd/directdoc.asp?DDFDocuments/v/G/TBTN23/BDI269A2.DOCX")</f>
      </c>
    </row>
    <row r="1214">
      <c r="A1214" s="6" t="s">
        <v>26</v>
      </c>
      <c r="B1214" s="7">
        <v>45587</v>
      </c>
      <c r="C1214" s="9">
        <f>HYPERLINK("https://eping.wto.org/en/Search?viewData= G/TBT/N/BDI/244/Add.2, G/TBT/N/KEN/1263/Add.2, G/TBT/N/RWA/674/Add.2, G/TBT/N/TZA/784/Add.2, G/TBT/N/UGA/1598/Add.2"," G/TBT/N/BDI/244/Add.2, G/TBT/N/KEN/1263/Add.2, G/TBT/N/RWA/674/Add.2, G/TBT/N/TZA/784/Add.2, G/TBT/N/UGA/1598/Add.2")</f>
      </c>
      <c r="D1214" s="8" t="s">
        <v>4176</v>
      </c>
      <c r="E1214" s="8" t="s">
        <v>4177</v>
      </c>
      <c r="F1214" s="8" t="s">
        <v>4178</v>
      </c>
      <c r="G1214" s="8" t="s">
        <v>4179</v>
      </c>
      <c r="H1214" s="8" t="s">
        <v>4175</v>
      </c>
      <c r="I1214" s="8" t="s">
        <v>4165</v>
      </c>
      <c r="J1214" s="8" t="s">
        <v>812</v>
      </c>
      <c r="K1214" s="6"/>
      <c r="L1214" s="7" t="s">
        <v>22</v>
      </c>
      <c r="M1214" s="6" t="s">
        <v>40</v>
      </c>
      <c r="N1214" s="6"/>
      <c r="O1214" s="6">
        <f>HYPERLINK("https://docs.wto.org/imrd/directdoc.asp?DDFDocuments/t/G/TBTN22/BDI244A2.DOCX", "https://docs.wto.org/imrd/directdoc.asp?DDFDocuments/t/G/TBTN22/BDI244A2.DOCX")</f>
      </c>
      <c r="P1214" s="6">
        <f>HYPERLINK("https://docs.wto.org/imrd/directdoc.asp?DDFDocuments/u/G/TBTN22/BDI244A2.DOCX", "https://docs.wto.org/imrd/directdoc.asp?DDFDocuments/u/G/TBTN22/BDI244A2.DOCX")</f>
      </c>
      <c r="Q1214" s="6">
        <f>HYPERLINK("https://docs.wto.org/imrd/directdoc.asp?DDFDocuments/v/G/TBTN22/BDI244A2.DOCX", "https://docs.wto.org/imrd/directdoc.asp?DDFDocuments/v/G/TBTN22/BDI244A2.DOCX")</f>
      </c>
    </row>
    <row r="1215">
      <c r="A1215" s="6" t="s">
        <v>53</v>
      </c>
      <c r="B1215" s="7">
        <v>45587</v>
      </c>
      <c r="C1215" s="9">
        <f>HYPERLINK("https://eping.wto.org/en/Search?viewData= G/TBT/N/BDI/309/Add.1, G/TBT/N/KEN/1355/Add.1, G/TBT/N/RWA/750/Add.1, G/TBT/N/TZA/873/Add.1, G/TBT/N/UGA/1720/Add.1"," G/TBT/N/BDI/309/Add.1, G/TBT/N/KEN/1355/Add.1, G/TBT/N/RWA/750/Add.1, G/TBT/N/TZA/873/Add.1, G/TBT/N/UGA/1720/Add.1")</f>
      </c>
      <c r="D1215" s="8" t="s">
        <v>4218</v>
      </c>
      <c r="E1215" s="8" t="s">
        <v>4219</v>
      </c>
      <c r="F1215" s="8" t="s">
        <v>2081</v>
      </c>
      <c r="G1215" s="8" t="s">
        <v>2082</v>
      </c>
      <c r="H1215" s="8" t="s">
        <v>79</v>
      </c>
      <c r="I1215" s="8" t="s">
        <v>4109</v>
      </c>
      <c r="J1215" s="8" t="s">
        <v>812</v>
      </c>
      <c r="K1215" s="6"/>
      <c r="L1215" s="7" t="s">
        <v>22</v>
      </c>
      <c r="M1215" s="6" t="s">
        <v>40</v>
      </c>
      <c r="N1215" s="6"/>
      <c r="O1215" s="6">
        <f>HYPERLINK("https://docs.wto.org/imrd/directdoc.asp?DDFDocuments/t/G/TBTN22/BDI309A1.DOCX", "https://docs.wto.org/imrd/directdoc.asp?DDFDocuments/t/G/TBTN22/BDI309A1.DOCX")</f>
      </c>
      <c r="P1215" s="6">
        <f>HYPERLINK("https://docs.wto.org/imrd/directdoc.asp?DDFDocuments/u/G/TBTN22/BDI309A1.DOCX", "https://docs.wto.org/imrd/directdoc.asp?DDFDocuments/u/G/TBTN22/BDI309A1.DOCX")</f>
      </c>
      <c r="Q1215" s="6">
        <f>HYPERLINK("https://docs.wto.org/imrd/directdoc.asp?DDFDocuments/v/G/TBTN22/BDI309A1.DOCX", "https://docs.wto.org/imrd/directdoc.asp?DDFDocuments/v/G/TBTN22/BDI309A1.DOCX")</f>
      </c>
    </row>
    <row r="1216">
      <c r="A1216" s="6" t="s">
        <v>847</v>
      </c>
      <c r="B1216" s="7">
        <v>45587</v>
      </c>
      <c r="C1216" s="9">
        <f>HYPERLINK("https://eping.wto.org/en/Search?viewData= G/TBT/N/UKR/310"," G/TBT/N/UKR/310")</f>
      </c>
      <c r="D1216" s="8" t="s">
        <v>4220</v>
      </c>
      <c r="E1216" s="8" t="s">
        <v>4221</v>
      </c>
      <c r="F1216" s="8" t="s">
        <v>758</v>
      </c>
      <c r="G1216" s="8" t="s">
        <v>22</v>
      </c>
      <c r="H1216" s="8" t="s">
        <v>1169</v>
      </c>
      <c r="I1216" s="8" t="s">
        <v>242</v>
      </c>
      <c r="J1216" s="8" t="s">
        <v>22</v>
      </c>
      <c r="K1216" s="6"/>
      <c r="L1216" s="7">
        <v>45647</v>
      </c>
      <c r="M1216" s="6" t="s">
        <v>32</v>
      </c>
      <c r="N1216" s="8" t="s">
        <v>4222</v>
      </c>
      <c r="O1216" s="6">
        <f>HYPERLINK("https://docs.wto.org/imrd/directdoc.asp?DDFDocuments/t/G/TBTN24/UKR310.DOCX", "https://docs.wto.org/imrd/directdoc.asp?DDFDocuments/t/G/TBTN24/UKR310.DOCX")</f>
      </c>
      <c r="P1216" s="6">
        <f>HYPERLINK("https://docs.wto.org/imrd/directdoc.asp?DDFDocuments/u/G/TBTN24/UKR310.DOCX", "https://docs.wto.org/imrd/directdoc.asp?DDFDocuments/u/G/TBTN24/UKR310.DOCX")</f>
      </c>
      <c r="Q1216" s="6">
        <f>HYPERLINK("https://docs.wto.org/imrd/directdoc.asp?DDFDocuments/v/G/TBTN24/UKR310.DOCX", "https://docs.wto.org/imrd/directdoc.asp?DDFDocuments/v/G/TBTN24/UKR310.DOCX")</f>
      </c>
    </row>
    <row r="1217">
      <c r="A1217" s="6" t="s">
        <v>53</v>
      </c>
      <c r="B1217" s="7">
        <v>45587</v>
      </c>
      <c r="C1217" s="9">
        <f>HYPERLINK("https://eping.wto.org/en/Search?viewData= G/TBT/N/BDI/273/Add.2, G/TBT/N/KEN/1301/Add.2, G/TBT/N/RWA/707/Add.2, G/TBT/N/TZA/826/Add.2, G/TBT/N/UGA/1681/Add.2"," G/TBT/N/BDI/273/Add.2, G/TBT/N/KEN/1301/Add.2, G/TBT/N/RWA/707/Add.2, G/TBT/N/TZA/826/Add.2, G/TBT/N/UGA/1681/Add.2")</f>
      </c>
      <c r="D1217" s="8" t="s">
        <v>4223</v>
      </c>
      <c r="E1217" s="8" t="s">
        <v>4224</v>
      </c>
      <c r="F1217" s="8" t="s">
        <v>4225</v>
      </c>
      <c r="G1217" s="8" t="s">
        <v>21</v>
      </c>
      <c r="H1217" s="8" t="s">
        <v>2073</v>
      </c>
      <c r="I1217" s="8" t="s">
        <v>4226</v>
      </c>
      <c r="J1217" s="8" t="s">
        <v>761</v>
      </c>
      <c r="K1217" s="6"/>
      <c r="L1217" s="7" t="s">
        <v>22</v>
      </c>
      <c r="M1217" s="6" t="s">
        <v>40</v>
      </c>
      <c r="N1217" s="6"/>
      <c r="O1217" s="6">
        <f>HYPERLINK("https://docs.wto.org/imrd/directdoc.asp?DDFDocuments/t/G/TBTN22/BDI273A2.DOCX", "https://docs.wto.org/imrd/directdoc.asp?DDFDocuments/t/G/TBTN22/BDI273A2.DOCX")</f>
      </c>
      <c r="P1217" s="6">
        <f>HYPERLINK("https://docs.wto.org/imrd/directdoc.asp?DDFDocuments/u/G/TBTN22/BDI273A2.DOCX", "https://docs.wto.org/imrd/directdoc.asp?DDFDocuments/u/G/TBTN22/BDI273A2.DOCX")</f>
      </c>
      <c r="Q1217" s="6">
        <f>HYPERLINK("https://docs.wto.org/imrd/directdoc.asp?DDFDocuments/v/G/TBTN22/BDI273A2.DOCX", "https://docs.wto.org/imrd/directdoc.asp?DDFDocuments/v/G/TBTN22/BDI273A2.DOCX")</f>
      </c>
    </row>
    <row r="1218">
      <c r="A1218" s="6" t="s">
        <v>68</v>
      </c>
      <c r="B1218" s="7">
        <v>45587</v>
      </c>
      <c r="C1218" s="9">
        <f>HYPERLINK("https://eping.wto.org/en/Search?viewData= G/TBT/N/BDI/230/Add.2, G/TBT/N/KEN/1239/Add.2, G/TBT/N/RWA/656/Add.2, G/TBT/N/TZA/731/Add.2, G/TBT/N/UGA/1563/Add.2"," G/TBT/N/BDI/230/Add.2, G/TBT/N/KEN/1239/Add.2, G/TBT/N/RWA/656/Add.2, G/TBT/N/TZA/731/Add.2, G/TBT/N/UGA/1563/Add.2")</f>
      </c>
      <c r="D1218" s="8" t="s">
        <v>4195</v>
      </c>
      <c r="E1218" s="8" t="s">
        <v>4196</v>
      </c>
      <c r="F1218" s="8" t="s">
        <v>4197</v>
      </c>
      <c r="G1218" s="8" t="s">
        <v>22</v>
      </c>
      <c r="H1218" s="8" t="s">
        <v>2602</v>
      </c>
      <c r="I1218" s="8" t="s">
        <v>4206</v>
      </c>
      <c r="J1218" s="8" t="s">
        <v>4227</v>
      </c>
      <c r="K1218" s="6"/>
      <c r="L1218" s="7" t="s">
        <v>22</v>
      </c>
      <c r="M1218" s="6" t="s">
        <v>40</v>
      </c>
      <c r="N1218" s="6"/>
      <c r="O1218" s="6">
        <f>HYPERLINK("https://docs.wto.org/imrd/directdoc.asp?DDFDocuments/t/G/TBTN22/BDI230A2.DOCX", "https://docs.wto.org/imrd/directdoc.asp?DDFDocuments/t/G/TBTN22/BDI230A2.DOCX")</f>
      </c>
      <c r="P1218" s="6">
        <f>HYPERLINK("https://docs.wto.org/imrd/directdoc.asp?DDFDocuments/u/G/TBTN22/BDI230A2.DOCX", "https://docs.wto.org/imrd/directdoc.asp?DDFDocuments/u/G/TBTN22/BDI230A2.DOCX")</f>
      </c>
      <c r="Q1218" s="6">
        <f>HYPERLINK("https://docs.wto.org/imrd/directdoc.asp?DDFDocuments/v/G/TBTN22/BDI230A2.DOCX", "https://docs.wto.org/imrd/directdoc.asp?DDFDocuments/v/G/TBTN22/BDI230A2.DOCX")</f>
      </c>
    </row>
    <row r="1219">
      <c r="A1219" s="6" t="s">
        <v>53</v>
      </c>
      <c r="B1219" s="7">
        <v>45587</v>
      </c>
      <c r="C1219" s="9">
        <f>HYPERLINK("https://eping.wto.org/en/Search?viewData= G/TBT/N/BDI/246/Add.2, G/TBT/N/KEN/1265/Add.2, G/TBT/N/RWA/676/Add.2, G/TBT/N/TZA/786/Add.2, G/TBT/N/UGA/1600/Add.2"," G/TBT/N/BDI/246/Add.2, G/TBT/N/KEN/1265/Add.2, G/TBT/N/RWA/676/Add.2, G/TBT/N/TZA/786/Add.2, G/TBT/N/UGA/1600/Add.2")</f>
      </c>
      <c r="D1219" s="8" t="s">
        <v>4171</v>
      </c>
      <c r="E1219" s="8" t="s">
        <v>4172</v>
      </c>
      <c r="F1219" s="8" t="s">
        <v>4173</v>
      </c>
      <c r="G1219" s="8" t="s">
        <v>4174</v>
      </c>
      <c r="H1219" s="8" t="s">
        <v>4175</v>
      </c>
      <c r="I1219" s="8" t="s">
        <v>4165</v>
      </c>
      <c r="J1219" s="8" t="s">
        <v>812</v>
      </c>
      <c r="K1219" s="6"/>
      <c r="L1219" s="7" t="s">
        <v>22</v>
      </c>
      <c r="M1219" s="6" t="s">
        <v>40</v>
      </c>
      <c r="N1219" s="6"/>
      <c r="O1219" s="6">
        <f>HYPERLINK("https://docs.wto.org/imrd/directdoc.asp?DDFDocuments/t/G/TBTN22/BDI246A2.DOCX", "https://docs.wto.org/imrd/directdoc.asp?DDFDocuments/t/G/TBTN22/BDI246A2.DOCX")</f>
      </c>
      <c r="P1219" s="6">
        <f>HYPERLINK("https://docs.wto.org/imrd/directdoc.asp?DDFDocuments/u/G/TBTN22/BDI246A2.DOCX", "https://docs.wto.org/imrd/directdoc.asp?DDFDocuments/u/G/TBTN22/BDI246A2.DOCX")</f>
      </c>
      <c r="Q1219" s="6">
        <f>HYPERLINK("https://docs.wto.org/imrd/directdoc.asp?DDFDocuments/v/G/TBTN22/BDI246A2.DOCX", "https://docs.wto.org/imrd/directdoc.asp?DDFDocuments/v/G/TBTN22/BDI246A2.DOCX")</f>
      </c>
    </row>
    <row r="1220">
      <c r="A1220" s="6" t="s">
        <v>49</v>
      </c>
      <c r="B1220" s="7">
        <v>45587</v>
      </c>
      <c r="C1220" s="9">
        <f>HYPERLINK("https://eping.wto.org/en/Search?viewData= G/TBT/N/BDI/246/Add.2, G/TBT/N/KEN/1265/Add.2, G/TBT/N/RWA/676/Add.2, G/TBT/N/TZA/786/Add.2, G/TBT/N/UGA/1600/Add.2"," G/TBT/N/BDI/246/Add.2, G/TBT/N/KEN/1265/Add.2, G/TBT/N/RWA/676/Add.2, G/TBT/N/TZA/786/Add.2, G/TBT/N/UGA/1600/Add.2")</f>
      </c>
      <c r="D1220" s="8" t="s">
        <v>4171</v>
      </c>
      <c r="E1220" s="8" t="s">
        <v>4172</v>
      </c>
      <c r="F1220" s="8" t="s">
        <v>4173</v>
      </c>
      <c r="G1220" s="8" t="s">
        <v>4174</v>
      </c>
      <c r="H1220" s="8" t="s">
        <v>4175</v>
      </c>
      <c r="I1220" s="8" t="s">
        <v>4165</v>
      </c>
      <c r="J1220" s="8" t="s">
        <v>812</v>
      </c>
      <c r="K1220" s="6"/>
      <c r="L1220" s="7" t="s">
        <v>22</v>
      </c>
      <c r="M1220" s="6" t="s">
        <v>40</v>
      </c>
      <c r="N1220" s="6"/>
      <c r="O1220" s="6">
        <f>HYPERLINK("https://docs.wto.org/imrd/directdoc.asp?DDFDocuments/t/G/TBTN22/BDI246A2.DOCX", "https://docs.wto.org/imrd/directdoc.asp?DDFDocuments/t/G/TBTN22/BDI246A2.DOCX")</f>
      </c>
      <c r="P1220" s="6">
        <f>HYPERLINK("https://docs.wto.org/imrd/directdoc.asp?DDFDocuments/u/G/TBTN22/BDI246A2.DOCX", "https://docs.wto.org/imrd/directdoc.asp?DDFDocuments/u/G/TBTN22/BDI246A2.DOCX")</f>
      </c>
      <c r="Q1220" s="6">
        <f>HYPERLINK("https://docs.wto.org/imrd/directdoc.asp?DDFDocuments/v/G/TBTN22/BDI246A2.DOCX", "https://docs.wto.org/imrd/directdoc.asp?DDFDocuments/v/G/TBTN22/BDI246A2.DOCX")</f>
      </c>
    </row>
    <row r="1221">
      <c r="A1221" s="6" t="s">
        <v>487</v>
      </c>
      <c r="B1221" s="7">
        <v>45587</v>
      </c>
      <c r="C1221" s="9">
        <f>HYPERLINK("https://eping.wto.org/en/Search?viewData= G/TBT/N/ZAF/261"," G/TBT/N/ZAF/261")</f>
      </c>
      <c r="D1221" s="8" t="s">
        <v>4228</v>
      </c>
      <c r="E1221" s="8" t="s">
        <v>4229</v>
      </c>
      <c r="F1221" s="8" t="s">
        <v>4230</v>
      </c>
      <c r="G1221" s="8" t="s">
        <v>22</v>
      </c>
      <c r="H1221" s="8" t="s">
        <v>22</v>
      </c>
      <c r="I1221" s="8" t="s">
        <v>4231</v>
      </c>
      <c r="J1221" s="8" t="s">
        <v>139</v>
      </c>
      <c r="K1221" s="6"/>
      <c r="L1221" s="7">
        <v>45647</v>
      </c>
      <c r="M1221" s="6" t="s">
        <v>32</v>
      </c>
      <c r="N1221" s="8" t="s">
        <v>4232</v>
      </c>
      <c r="O1221" s="6">
        <f>HYPERLINK("https://docs.wto.org/imrd/directdoc.asp?DDFDocuments/t/G/TBTN24/ZAF261.DOCX", "https://docs.wto.org/imrd/directdoc.asp?DDFDocuments/t/G/TBTN24/ZAF261.DOCX")</f>
      </c>
      <c r="P1221" s="6">
        <f>HYPERLINK("https://docs.wto.org/imrd/directdoc.asp?DDFDocuments/u/G/TBTN24/ZAF261.DOCX", "https://docs.wto.org/imrd/directdoc.asp?DDFDocuments/u/G/TBTN24/ZAF261.DOCX")</f>
      </c>
      <c r="Q1221" s="6">
        <f>HYPERLINK("https://docs.wto.org/imrd/directdoc.asp?DDFDocuments/v/G/TBTN24/ZAF261.DOCX", "https://docs.wto.org/imrd/directdoc.asp?DDFDocuments/v/G/TBTN24/ZAF261.DOCX")</f>
      </c>
    </row>
    <row r="1222">
      <c r="A1222" s="6" t="s">
        <v>82</v>
      </c>
      <c r="B1222" s="7">
        <v>45587</v>
      </c>
      <c r="C1222" s="9">
        <f>HYPERLINK("https://eping.wto.org/en/Search?viewData= G/TBT/N/BRA/1326/Add.1"," G/TBT/N/BRA/1326/Add.1")</f>
      </c>
      <c r="D1222" s="8" t="s">
        <v>4233</v>
      </c>
      <c r="E1222" s="8" t="s">
        <v>4234</v>
      </c>
      <c r="F1222" s="8" t="s">
        <v>4235</v>
      </c>
      <c r="G1222" s="8" t="s">
        <v>4236</v>
      </c>
      <c r="H1222" s="8" t="s">
        <v>264</v>
      </c>
      <c r="I1222" s="8" t="s">
        <v>39</v>
      </c>
      <c r="J1222" s="8" t="s">
        <v>266</v>
      </c>
      <c r="K1222" s="6"/>
      <c r="L1222" s="7" t="s">
        <v>22</v>
      </c>
      <c r="M1222" s="6" t="s">
        <v>40</v>
      </c>
      <c r="N1222" s="8" t="s">
        <v>4237</v>
      </c>
      <c r="O1222" s="6">
        <f>HYPERLINK("https://docs.wto.org/imrd/directdoc.asp?DDFDocuments/t/G/TBTN22/BRA1326A1.DOCX", "https://docs.wto.org/imrd/directdoc.asp?DDFDocuments/t/G/TBTN22/BRA1326A1.DOCX")</f>
      </c>
      <c r="P1222" s="6">
        <f>HYPERLINK("https://docs.wto.org/imrd/directdoc.asp?DDFDocuments/u/G/TBTN22/BRA1326A1.DOCX", "https://docs.wto.org/imrd/directdoc.asp?DDFDocuments/u/G/TBTN22/BRA1326A1.DOCX")</f>
      </c>
      <c r="Q1222" s="6">
        <f>HYPERLINK("https://docs.wto.org/imrd/directdoc.asp?DDFDocuments/v/G/TBTN22/BRA1326A1.DOCX", "https://docs.wto.org/imrd/directdoc.asp?DDFDocuments/v/G/TBTN22/BRA1326A1.DOCX")</f>
      </c>
    </row>
    <row r="1223">
      <c r="A1223" s="6" t="s">
        <v>60</v>
      </c>
      <c r="B1223" s="7">
        <v>45587</v>
      </c>
      <c r="C1223" s="9">
        <f>HYPERLINK("https://eping.wto.org/en/Search?viewData= G/TBT/N/BDI/279/Add.2, G/TBT/N/KEN/1313/Add.2, G/TBT/N/RWA/713/Add.2, G/TBT/N/TZA/832/Add.2, G/TBT/N/UGA/1687/Add.2"," G/TBT/N/BDI/279/Add.2, G/TBT/N/KEN/1313/Add.2, G/TBT/N/RWA/713/Add.2, G/TBT/N/TZA/832/Add.2, G/TBT/N/UGA/1687/Add.2")</f>
      </c>
      <c r="D1223" s="8" t="s">
        <v>4184</v>
      </c>
      <c r="E1223" s="8" t="s">
        <v>4185</v>
      </c>
      <c r="F1223" s="8" t="s">
        <v>4186</v>
      </c>
      <c r="G1223" s="8" t="s">
        <v>2144</v>
      </c>
      <c r="H1223" s="8" t="s">
        <v>2073</v>
      </c>
      <c r="I1223" s="8" t="s">
        <v>4238</v>
      </c>
      <c r="J1223" s="8" t="s">
        <v>812</v>
      </c>
      <c r="K1223" s="6"/>
      <c r="L1223" s="7" t="s">
        <v>22</v>
      </c>
      <c r="M1223" s="6" t="s">
        <v>40</v>
      </c>
      <c r="N1223" s="6"/>
      <c r="O1223" s="6">
        <f>HYPERLINK("https://docs.wto.org/imrd/directdoc.asp?DDFDocuments/t/G/TBTN22/BDI279A2.DOCX", "https://docs.wto.org/imrd/directdoc.asp?DDFDocuments/t/G/TBTN22/BDI279A2.DOCX")</f>
      </c>
      <c r="P1223" s="6">
        <f>HYPERLINK("https://docs.wto.org/imrd/directdoc.asp?DDFDocuments/u/G/TBTN22/BDI279A2.DOCX", "https://docs.wto.org/imrd/directdoc.asp?DDFDocuments/u/G/TBTN22/BDI279A2.DOCX")</f>
      </c>
      <c r="Q1223" s="6">
        <f>HYPERLINK("https://docs.wto.org/imrd/directdoc.asp?DDFDocuments/v/G/TBTN22/BDI279A2.DOCX", "https://docs.wto.org/imrd/directdoc.asp?DDFDocuments/v/G/TBTN22/BDI279A2.DOCX")</f>
      </c>
    </row>
    <row r="1224">
      <c r="A1224" s="6" t="s">
        <v>26</v>
      </c>
      <c r="B1224" s="7">
        <v>45587</v>
      </c>
      <c r="C1224" s="9">
        <f>HYPERLINK("https://eping.wto.org/en/Search?viewData= G/TBT/N/BDI/247/Add.2, G/TBT/N/KEN/1266/Add.2, G/TBT/N/RWA/677/Add.2, G/TBT/N/TZA/787/Add.2, G/TBT/N/UGA/1601/Add.2"," G/TBT/N/BDI/247/Add.2, G/TBT/N/KEN/1266/Add.2, G/TBT/N/RWA/677/Add.2, G/TBT/N/TZA/787/Add.2, G/TBT/N/UGA/1601/Add.2")</f>
      </c>
      <c r="D1224" s="8" t="s">
        <v>4160</v>
      </c>
      <c r="E1224" s="8" t="s">
        <v>4161</v>
      </c>
      <c r="F1224" s="8" t="s">
        <v>4162</v>
      </c>
      <c r="G1224" s="8" t="s">
        <v>4163</v>
      </c>
      <c r="H1224" s="8" t="s">
        <v>4164</v>
      </c>
      <c r="I1224" s="8" t="s">
        <v>4165</v>
      </c>
      <c r="J1224" s="8" t="s">
        <v>812</v>
      </c>
      <c r="K1224" s="6"/>
      <c r="L1224" s="7" t="s">
        <v>22</v>
      </c>
      <c r="M1224" s="6" t="s">
        <v>40</v>
      </c>
      <c r="N1224" s="6"/>
      <c r="O1224" s="6">
        <f>HYPERLINK("https://docs.wto.org/imrd/directdoc.asp?DDFDocuments/t/G/TBTN22/BDI247A2.DOCX", "https://docs.wto.org/imrd/directdoc.asp?DDFDocuments/t/G/TBTN22/BDI247A2.DOCX")</f>
      </c>
      <c r="P1224" s="6">
        <f>HYPERLINK("https://docs.wto.org/imrd/directdoc.asp?DDFDocuments/u/G/TBTN22/BDI247A2.DOCX", "https://docs.wto.org/imrd/directdoc.asp?DDFDocuments/u/G/TBTN22/BDI247A2.DOCX")</f>
      </c>
      <c r="Q1224" s="6">
        <f>HYPERLINK("https://docs.wto.org/imrd/directdoc.asp?DDFDocuments/v/G/TBTN22/BDI247A2.DOCX", "https://docs.wto.org/imrd/directdoc.asp?DDFDocuments/v/G/TBTN22/BDI247A2.DOCX")</f>
      </c>
    </row>
    <row r="1225">
      <c r="A1225" s="6" t="s">
        <v>53</v>
      </c>
      <c r="B1225" s="7">
        <v>45587</v>
      </c>
      <c r="C1225" s="9">
        <f>HYPERLINK("https://eping.wto.org/en/Search?viewData= G/TBT/N/BDI/267/Add.2, G/TBT/N/KEN/1296/Add.2, G/TBT/N/RWA/702/Add.2, G/TBT/N/TZA/821/Add.2, G/TBT/N/UGA/1676/Add.2"," G/TBT/N/BDI/267/Add.2, G/TBT/N/KEN/1296/Add.2, G/TBT/N/RWA/702/Add.2, G/TBT/N/TZA/821/Add.2, G/TBT/N/UGA/1676/Add.2")</f>
      </c>
      <c r="D1225" s="8" t="s">
        <v>4166</v>
      </c>
      <c r="E1225" s="8" t="s">
        <v>4167</v>
      </c>
      <c r="F1225" s="8" t="s">
        <v>4168</v>
      </c>
      <c r="G1225" s="8" t="s">
        <v>4169</v>
      </c>
      <c r="H1225" s="8" t="s">
        <v>4170</v>
      </c>
      <c r="I1225" s="8" t="s">
        <v>4165</v>
      </c>
      <c r="J1225" s="8" t="s">
        <v>812</v>
      </c>
      <c r="K1225" s="6"/>
      <c r="L1225" s="7" t="s">
        <v>22</v>
      </c>
      <c r="M1225" s="6" t="s">
        <v>40</v>
      </c>
      <c r="N1225" s="6"/>
      <c r="O1225" s="6">
        <f>HYPERLINK("https://docs.wto.org/imrd/directdoc.asp?DDFDocuments/t/G/TBTN22/BDI267A2.DOCX", "https://docs.wto.org/imrd/directdoc.asp?DDFDocuments/t/G/TBTN22/BDI267A2.DOCX")</f>
      </c>
      <c r="P1225" s="6">
        <f>HYPERLINK("https://docs.wto.org/imrd/directdoc.asp?DDFDocuments/u/G/TBTN22/BDI267A2.DOCX", "https://docs.wto.org/imrd/directdoc.asp?DDFDocuments/u/G/TBTN22/BDI267A2.DOCX")</f>
      </c>
      <c r="Q1225" s="6">
        <f>HYPERLINK("https://docs.wto.org/imrd/directdoc.asp?DDFDocuments/v/G/TBTN22/BDI267A2.DOCX", "https://docs.wto.org/imrd/directdoc.asp?DDFDocuments/v/G/TBTN22/BDI267A2.DOCX")</f>
      </c>
    </row>
    <row r="1226">
      <c r="A1226" s="6" t="s">
        <v>26</v>
      </c>
      <c r="B1226" s="7">
        <v>45587</v>
      </c>
      <c r="C1226" s="9">
        <f>HYPERLINK("https://eping.wto.org/en/Search?viewData= G/TBT/N/BDI/267/Add.2, G/TBT/N/KEN/1296/Add.2, G/TBT/N/RWA/702/Add.2, G/TBT/N/TZA/821/Add.2, G/TBT/N/UGA/1676/Add.2"," G/TBT/N/BDI/267/Add.2, G/TBT/N/KEN/1296/Add.2, G/TBT/N/RWA/702/Add.2, G/TBT/N/TZA/821/Add.2, G/TBT/N/UGA/1676/Add.2")</f>
      </c>
      <c r="D1226" s="8" t="s">
        <v>4166</v>
      </c>
      <c r="E1226" s="8" t="s">
        <v>4167</v>
      </c>
      <c r="F1226" s="8" t="s">
        <v>4168</v>
      </c>
      <c r="G1226" s="8" t="s">
        <v>4169</v>
      </c>
      <c r="H1226" s="8" t="s">
        <v>4170</v>
      </c>
      <c r="I1226" s="8" t="s">
        <v>4165</v>
      </c>
      <c r="J1226" s="8" t="s">
        <v>812</v>
      </c>
      <c r="K1226" s="6"/>
      <c r="L1226" s="7" t="s">
        <v>22</v>
      </c>
      <c r="M1226" s="6" t="s">
        <v>40</v>
      </c>
      <c r="N1226" s="6"/>
      <c r="O1226" s="6">
        <f>HYPERLINK("https://docs.wto.org/imrd/directdoc.asp?DDFDocuments/t/G/TBTN22/BDI267A2.DOCX", "https://docs.wto.org/imrd/directdoc.asp?DDFDocuments/t/G/TBTN22/BDI267A2.DOCX")</f>
      </c>
      <c r="P1226" s="6">
        <f>HYPERLINK("https://docs.wto.org/imrd/directdoc.asp?DDFDocuments/u/G/TBTN22/BDI267A2.DOCX", "https://docs.wto.org/imrd/directdoc.asp?DDFDocuments/u/G/TBTN22/BDI267A2.DOCX")</f>
      </c>
      <c r="Q1226" s="6">
        <f>HYPERLINK("https://docs.wto.org/imrd/directdoc.asp?DDFDocuments/v/G/TBTN22/BDI267A2.DOCX", "https://docs.wto.org/imrd/directdoc.asp?DDFDocuments/v/G/TBTN22/BDI267A2.DOCX")</f>
      </c>
    </row>
    <row r="1227">
      <c r="A1227" s="6" t="s">
        <v>26</v>
      </c>
      <c r="B1227" s="7">
        <v>45587</v>
      </c>
      <c r="C1227" s="9">
        <f>HYPERLINK("https://eping.wto.org/en/Search?viewData= G/TBT/N/BDI/246/Add.2, G/TBT/N/KEN/1265/Add.2, G/TBT/N/RWA/676/Add.2, G/TBT/N/TZA/786/Add.2, G/TBT/N/UGA/1600/Add.2"," G/TBT/N/BDI/246/Add.2, G/TBT/N/KEN/1265/Add.2, G/TBT/N/RWA/676/Add.2, G/TBT/N/TZA/786/Add.2, G/TBT/N/UGA/1600/Add.2")</f>
      </c>
      <c r="D1227" s="8" t="s">
        <v>4171</v>
      </c>
      <c r="E1227" s="8" t="s">
        <v>4172</v>
      </c>
      <c r="F1227" s="8" t="s">
        <v>4173</v>
      </c>
      <c r="G1227" s="8" t="s">
        <v>4174</v>
      </c>
      <c r="H1227" s="8" t="s">
        <v>4175</v>
      </c>
      <c r="I1227" s="8" t="s">
        <v>4165</v>
      </c>
      <c r="J1227" s="8" t="s">
        <v>812</v>
      </c>
      <c r="K1227" s="6"/>
      <c r="L1227" s="7" t="s">
        <v>22</v>
      </c>
      <c r="M1227" s="6" t="s">
        <v>40</v>
      </c>
      <c r="N1227" s="6"/>
      <c r="O1227" s="6">
        <f>HYPERLINK("https://docs.wto.org/imrd/directdoc.asp?DDFDocuments/t/G/TBTN22/BDI246A2.DOCX", "https://docs.wto.org/imrd/directdoc.asp?DDFDocuments/t/G/TBTN22/BDI246A2.DOCX")</f>
      </c>
      <c r="P1227" s="6">
        <f>HYPERLINK("https://docs.wto.org/imrd/directdoc.asp?DDFDocuments/u/G/TBTN22/BDI246A2.DOCX", "https://docs.wto.org/imrd/directdoc.asp?DDFDocuments/u/G/TBTN22/BDI246A2.DOCX")</f>
      </c>
      <c r="Q1227" s="6">
        <f>HYPERLINK("https://docs.wto.org/imrd/directdoc.asp?DDFDocuments/v/G/TBTN22/BDI246A2.DOCX", "https://docs.wto.org/imrd/directdoc.asp?DDFDocuments/v/G/TBTN22/BDI246A2.DOCX")</f>
      </c>
    </row>
    <row r="1228">
      <c r="A1228" s="6" t="s">
        <v>53</v>
      </c>
      <c r="B1228" s="7">
        <v>45587</v>
      </c>
      <c r="C1228" s="9">
        <f>HYPERLINK("https://eping.wto.org/en/Search?viewData= G/TBT/N/BDI/244/Add.2, G/TBT/N/KEN/1263/Add.2, G/TBT/N/RWA/674/Add.2, G/TBT/N/TZA/784/Add.2, G/TBT/N/UGA/1598/Add.2"," G/TBT/N/BDI/244/Add.2, G/TBT/N/KEN/1263/Add.2, G/TBT/N/RWA/674/Add.2, G/TBT/N/TZA/784/Add.2, G/TBT/N/UGA/1598/Add.2")</f>
      </c>
      <c r="D1228" s="8" t="s">
        <v>4176</v>
      </c>
      <c r="E1228" s="8" t="s">
        <v>4177</v>
      </c>
      <c r="F1228" s="8" t="s">
        <v>4178</v>
      </c>
      <c r="G1228" s="8" t="s">
        <v>4179</v>
      </c>
      <c r="H1228" s="8" t="s">
        <v>4175</v>
      </c>
      <c r="I1228" s="8" t="s">
        <v>4165</v>
      </c>
      <c r="J1228" s="8" t="s">
        <v>812</v>
      </c>
      <c r="K1228" s="6"/>
      <c r="L1228" s="7" t="s">
        <v>22</v>
      </c>
      <c r="M1228" s="6" t="s">
        <v>40</v>
      </c>
      <c r="N1228" s="6"/>
      <c r="O1228" s="6">
        <f>HYPERLINK("https://docs.wto.org/imrd/directdoc.asp?DDFDocuments/t/G/TBTN22/BDI244A2.DOCX", "https://docs.wto.org/imrd/directdoc.asp?DDFDocuments/t/G/TBTN22/BDI244A2.DOCX")</f>
      </c>
      <c r="P1228" s="6">
        <f>HYPERLINK("https://docs.wto.org/imrd/directdoc.asp?DDFDocuments/u/G/TBTN22/BDI244A2.DOCX", "https://docs.wto.org/imrd/directdoc.asp?DDFDocuments/u/G/TBTN22/BDI244A2.DOCX")</f>
      </c>
      <c r="Q1228" s="6">
        <f>HYPERLINK("https://docs.wto.org/imrd/directdoc.asp?DDFDocuments/v/G/TBTN22/BDI244A2.DOCX", "https://docs.wto.org/imrd/directdoc.asp?DDFDocuments/v/G/TBTN22/BDI244A2.DOCX")</f>
      </c>
    </row>
    <row r="1229">
      <c r="A1229" s="6" t="s">
        <v>49</v>
      </c>
      <c r="B1229" s="7">
        <v>45587</v>
      </c>
      <c r="C1229" s="9">
        <f>HYPERLINK("https://eping.wto.org/en/Search?viewData= G/TBT/N/BDI/244/Add.2, G/TBT/N/KEN/1263/Add.2, G/TBT/N/RWA/674/Add.2, G/TBT/N/TZA/784/Add.2, G/TBT/N/UGA/1598/Add.2"," G/TBT/N/BDI/244/Add.2, G/TBT/N/KEN/1263/Add.2, G/TBT/N/RWA/674/Add.2, G/TBT/N/TZA/784/Add.2, G/TBT/N/UGA/1598/Add.2")</f>
      </c>
      <c r="D1229" s="8" t="s">
        <v>4176</v>
      </c>
      <c r="E1229" s="8" t="s">
        <v>4177</v>
      </c>
      <c r="F1229" s="8" t="s">
        <v>4178</v>
      </c>
      <c r="G1229" s="8" t="s">
        <v>4179</v>
      </c>
      <c r="H1229" s="8" t="s">
        <v>4175</v>
      </c>
      <c r="I1229" s="8" t="s">
        <v>4165</v>
      </c>
      <c r="J1229" s="8" t="s">
        <v>812</v>
      </c>
      <c r="K1229" s="6"/>
      <c r="L1229" s="7" t="s">
        <v>22</v>
      </c>
      <c r="M1229" s="6" t="s">
        <v>40</v>
      </c>
      <c r="N1229" s="6"/>
      <c r="O1229" s="6">
        <f>HYPERLINK("https://docs.wto.org/imrd/directdoc.asp?DDFDocuments/t/G/TBTN22/BDI244A2.DOCX", "https://docs.wto.org/imrd/directdoc.asp?DDFDocuments/t/G/TBTN22/BDI244A2.DOCX")</f>
      </c>
      <c r="P1229" s="6">
        <f>HYPERLINK("https://docs.wto.org/imrd/directdoc.asp?DDFDocuments/u/G/TBTN22/BDI244A2.DOCX", "https://docs.wto.org/imrd/directdoc.asp?DDFDocuments/u/G/TBTN22/BDI244A2.DOCX")</f>
      </c>
      <c r="Q1229" s="6">
        <f>HYPERLINK("https://docs.wto.org/imrd/directdoc.asp?DDFDocuments/v/G/TBTN22/BDI244A2.DOCX", "https://docs.wto.org/imrd/directdoc.asp?DDFDocuments/v/G/TBTN22/BDI244A2.DOCX")</f>
      </c>
    </row>
    <row r="1230">
      <c r="A1230" s="6" t="s">
        <v>60</v>
      </c>
      <c r="B1230" s="7">
        <v>45587</v>
      </c>
      <c r="C1230" s="9">
        <f>HYPERLINK("https://eping.wto.org/en/Search?viewData= G/TBT/N/BDI/230/Add.2, G/TBT/N/KEN/1239/Add.2, G/TBT/N/RWA/656/Add.2, G/TBT/N/TZA/731/Add.2, G/TBT/N/UGA/1563/Add.2"," G/TBT/N/BDI/230/Add.2, G/TBT/N/KEN/1239/Add.2, G/TBT/N/RWA/656/Add.2, G/TBT/N/TZA/731/Add.2, G/TBT/N/UGA/1563/Add.2")</f>
      </c>
      <c r="D1230" s="8" t="s">
        <v>4195</v>
      </c>
      <c r="E1230" s="8" t="s">
        <v>4196</v>
      </c>
      <c r="F1230" s="8" t="s">
        <v>4197</v>
      </c>
      <c r="G1230" s="8" t="s">
        <v>22</v>
      </c>
      <c r="H1230" s="8" t="s">
        <v>2602</v>
      </c>
      <c r="I1230" s="8" t="s">
        <v>4198</v>
      </c>
      <c r="J1230" s="8" t="s">
        <v>4199</v>
      </c>
      <c r="K1230" s="6"/>
      <c r="L1230" s="7" t="s">
        <v>22</v>
      </c>
      <c r="M1230" s="6" t="s">
        <v>40</v>
      </c>
      <c r="N1230" s="6"/>
      <c r="O1230" s="6">
        <f>HYPERLINK("https://docs.wto.org/imrd/directdoc.asp?DDFDocuments/t/G/TBTN22/BDI230A2.DOCX", "https://docs.wto.org/imrd/directdoc.asp?DDFDocuments/t/G/TBTN22/BDI230A2.DOCX")</f>
      </c>
      <c r="P1230" s="6">
        <f>HYPERLINK("https://docs.wto.org/imrd/directdoc.asp?DDFDocuments/u/G/TBTN22/BDI230A2.DOCX", "https://docs.wto.org/imrd/directdoc.asp?DDFDocuments/u/G/TBTN22/BDI230A2.DOCX")</f>
      </c>
      <c r="Q1230" s="6">
        <f>HYPERLINK("https://docs.wto.org/imrd/directdoc.asp?DDFDocuments/v/G/TBTN22/BDI230A2.DOCX", "https://docs.wto.org/imrd/directdoc.asp?DDFDocuments/v/G/TBTN22/BDI230A2.DOCX")</f>
      </c>
    </row>
    <row r="1231">
      <c r="A1231" s="6" t="s">
        <v>53</v>
      </c>
      <c r="B1231" s="7">
        <v>45587</v>
      </c>
      <c r="C1231" s="9">
        <f>HYPERLINK("https://eping.wto.org/en/Search?viewData= G/TBT/N/BDI/311/Add.2, G/TBT/N/KEN/1357/Add.2, G/TBT/N/RWA/752/Add.2, G/TBT/N/TZA/875/Add.2, G/TBT/N/UGA/1722/Add.2"," G/TBT/N/BDI/311/Add.2, G/TBT/N/KEN/1357/Add.2, G/TBT/N/RWA/752/Add.2, G/TBT/N/TZA/875/Add.2, G/TBT/N/UGA/1722/Add.2")</f>
      </c>
      <c r="D1231" s="8" t="s">
        <v>2075</v>
      </c>
      <c r="E1231" s="8" t="s">
        <v>4180</v>
      </c>
      <c r="F1231" s="8" t="s">
        <v>2077</v>
      </c>
      <c r="G1231" s="8" t="s">
        <v>2078</v>
      </c>
      <c r="H1231" s="8" t="s">
        <v>79</v>
      </c>
      <c r="I1231" s="8" t="s">
        <v>4109</v>
      </c>
      <c r="J1231" s="8" t="s">
        <v>812</v>
      </c>
      <c r="K1231" s="6"/>
      <c r="L1231" s="7" t="s">
        <v>22</v>
      </c>
      <c r="M1231" s="6" t="s">
        <v>40</v>
      </c>
      <c r="N1231" s="6"/>
      <c r="O1231" s="6">
        <f>HYPERLINK("https://docs.wto.org/imrd/directdoc.asp?DDFDocuments/t/G/TBTN22/BDI311A2.DOCX", "https://docs.wto.org/imrd/directdoc.asp?DDFDocuments/t/G/TBTN22/BDI311A2.DOCX")</f>
      </c>
      <c r="P1231" s="6">
        <f>HYPERLINK("https://docs.wto.org/imrd/directdoc.asp?DDFDocuments/u/G/TBTN22/BDI311A2.DOCX", "https://docs.wto.org/imrd/directdoc.asp?DDFDocuments/u/G/TBTN22/BDI311A2.DOCX")</f>
      </c>
      <c r="Q1231" s="6">
        <f>HYPERLINK("https://docs.wto.org/imrd/directdoc.asp?DDFDocuments/v/G/TBTN22/BDI311A2.DOCX", "https://docs.wto.org/imrd/directdoc.asp?DDFDocuments/v/G/TBTN22/BDI311A2.DOCX")</f>
      </c>
    </row>
    <row r="1232">
      <c r="A1232" s="6" t="s">
        <v>60</v>
      </c>
      <c r="B1232" s="7">
        <v>45587</v>
      </c>
      <c r="C1232" s="9">
        <f>HYPERLINK("https://eping.wto.org/en/Search?viewData= G/TBT/N/BDI/312/Add.2, G/TBT/N/KEN/1358/Add.2, G/TBT/N/RWA/753/Add.2, G/TBT/N/TZA/876/Add.2, G/TBT/N/UGA/1723/Add.2"," G/TBT/N/BDI/312/Add.2, G/TBT/N/KEN/1358/Add.2, G/TBT/N/RWA/753/Add.2, G/TBT/N/TZA/876/Add.2, G/TBT/N/UGA/1723/Add.2")</f>
      </c>
      <c r="D1232" s="8" t="s">
        <v>2091</v>
      </c>
      <c r="E1232" s="8" t="s">
        <v>4200</v>
      </c>
      <c r="F1232" s="8" t="s">
        <v>2093</v>
      </c>
      <c r="G1232" s="8" t="s">
        <v>2094</v>
      </c>
      <c r="H1232" s="8" t="s">
        <v>79</v>
      </c>
      <c r="I1232" s="8" t="s">
        <v>4109</v>
      </c>
      <c r="J1232" s="8" t="s">
        <v>812</v>
      </c>
      <c r="K1232" s="6"/>
      <c r="L1232" s="7" t="s">
        <v>22</v>
      </c>
      <c r="M1232" s="6" t="s">
        <v>40</v>
      </c>
      <c r="N1232" s="6"/>
      <c r="O1232" s="6">
        <f>HYPERLINK("https://docs.wto.org/imrd/directdoc.asp?DDFDocuments/t/G/TBTN22/BDI312A2.DOCX", "https://docs.wto.org/imrd/directdoc.asp?DDFDocuments/t/G/TBTN22/BDI312A2.DOCX")</f>
      </c>
      <c r="P1232" s="6">
        <f>HYPERLINK("https://docs.wto.org/imrd/directdoc.asp?DDFDocuments/u/G/TBTN22/BDI312A2.DOCX", "https://docs.wto.org/imrd/directdoc.asp?DDFDocuments/u/G/TBTN22/BDI312A2.DOCX")</f>
      </c>
      <c r="Q1232" s="6">
        <f>HYPERLINK("https://docs.wto.org/imrd/directdoc.asp?DDFDocuments/v/G/TBTN22/BDI312A2.DOCX", "https://docs.wto.org/imrd/directdoc.asp?DDFDocuments/v/G/TBTN22/BDI312A2.DOCX")</f>
      </c>
    </row>
    <row r="1233">
      <c r="A1233" s="6" t="s">
        <v>53</v>
      </c>
      <c r="B1233" s="7">
        <v>45587</v>
      </c>
      <c r="C1233" s="9">
        <f>HYPERLINK("https://eping.wto.org/en/Search?viewData= G/TBT/N/BDI/312/Add.2, G/TBT/N/KEN/1358/Add.2, G/TBT/N/RWA/753/Add.2, G/TBT/N/TZA/876/Add.2, G/TBT/N/UGA/1723/Add.2"," G/TBT/N/BDI/312/Add.2, G/TBT/N/KEN/1358/Add.2, G/TBT/N/RWA/753/Add.2, G/TBT/N/TZA/876/Add.2, G/TBT/N/UGA/1723/Add.2")</f>
      </c>
      <c r="D1233" s="8" t="s">
        <v>2091</v>
      </c>
      <c r="E1233" s="8" t="s">
        <v>4200</v>
      </c>
      <c r="F1233" s="8" t="s">
        <v>2093</v>
      </c>
      <c r="G1233" s="8" t="s">
        <v>2094</v>
      </c>
      <c r="H1233" s="8" t="s">
        <v>79</v>
      </c>
      <c r="I1233" s="8" t="s">
        <v>4109</v>
      </c>
      <c r="J1233" s="8" t="s">
        <v>812</v>
      </c>
      <c r="K1233" s="6"/>
      <c r="L1233" s="7" t="s">
        <v>22</v>
      </c>
      <c r="M1233" s="6" t="s">
        <v>40</v>
      </c>
      <c r="N1233" s="6"/>
      <c r="O1233" s="6">
        <f>HYPERLINK("https://docs.wto.org/imrd/directdoc.asp?DDFDocuments/t/G/TBTN22/BDI312A2.DOCX", "https://docs.wto.org/imrd/directdoc.asp?DDFDocuments/t/G/TBTN22/BDI312A2.DOCX")</f>
      </c>
      <c r="P1233" s="6">
        <f>HYPERLINK("https://docs.wto.org/imrd/directdoc.asp?DDFDocuments/u/G/TBTN22/BDI312A2.DOCX", "https://docs.wto.org/imrd/directdoc.asp?DDFDocuments/u/G/TBTN22/BDI312A2.DOCX")</f>
      </c>
      <c r="Q1233" s="6">
        <f>HYPERLINK("https://docs.wto.org/imrd/directdoc.asp?DDFDocuments/v/G/TBTN22/BDI312A2.DOCX", "https://docs.wto.org/imrd/directdoc.asp?DDFDocuments/v/G/TBTN22/BDI312A2.DOCX")</f>
      </c>
    </row>
    <row r="1234">
      <c r="A1234" s="6" t="s">
        <v>26</v>
      </c>
      <c r="B1234" s="7">
        <v>45587</v>
      </c>
      <c r="C1234" s="9">
        <f>HYPERLINK("https://eping.wto.org/en/Search?viewData= G/TBT/N/BDI/312/Add.2, G/TBT/N/KEN/1358/Add.2, G/TBT/N/RWA/753/Add.2, G/TBT/N/TZA/876/Add.2, G/TBT/N/UGA/1723/Add.2"," G/TBT/N/BDI/312/Add.2, G/TBT/N/KEN/1358/Add.2, G/TBT/N/RWA/753/Add.2, G/TBT/N/TZA/876/Add.2, G/TBT/N/UGA/1723/Add.2")</f>
      </c>
      <c r="D1234" s="8" t="s">
        <v>2091</v>
      </c>
      <c r="E1234" s="8" t="s">
        <v>4200</v>
      </c>
      <c r="F1234" s="8" t="s">
        <v>2093</v>
      </c>
      <c r="G1234" s="8" t="s">
        <v>2094</v>
      </c>
      <c r="H1234" s="8" t="s">
        <v>79</v>
      </c>
      <c r="I1234" s="8" t="s">
        <v>4109</v>
      </c>
      <c r="J1234" s="8" t="s">
        <v>812</v>
      </c>
      <c r="K1234" s="6"/>
      <c r="L1234" s="7" t="s">
        <v>22</v>
      </c>
      <c r="M1234" s="6" t="s">
        <v>40</v>
      </c>
      <c r="N1234" s="6"/>
      <c r="O1234" s="6">
        <f>HYPERLINK("https://docs.wto.org/imrd/directdoc.asp?DDFDocuments/t/G/TBTN22/BDI312A2.DOCX", "https://docs.wto.org/imrd/directdoc.asp?DDFDocuments/t/G/TBTN22/BDI312A2.DOCX")</f>
      </c>
      <c r="P1234" s="6">
        <f>HYPERLINK("https://docs.wto.org/imrd/directdoc.asp?DDFDocuments/u/G/TBTN22/BDI312A2.DOCX", "https://docs.wto.org/imrd/directdoc.asp?DDFDocuments/u/G/TBTN22/BDI312A2.DOCX")</f>
      </c>
      <c r="Q1234" s="6">
        <f>HYPERLINK("https://docs.wto.org/imrd/directdoc.asp?DDFDocuments/v/G/TBTN22/BDI312A2.DOCX", "https://docs.wto.org/imrd/directdoc.asp?DDFDocuments/v/G/TBTN22/BDI312A2.DOCX")</f>
      </c>
    </row>
    <row r="1235">
      <c r="A1235" s="6" t="s">
        <v>60</v>
      </c>
      <c r="B1235" s="7">
        <v>45587</v>
      </c>
      <c r="C1235" s="9">
        <f>HYPERLINK("https://eping.wto.org/en/Search?viewData= G/TBT/N/BDI/309/Add.1, G/TBT/N/KEN/1355/Add.1, G/TBT/N/RWA/750/Add.1, G/TBT/N/TZA/873/Add.1, G/TBT/N/UGA/1720/Add.1"," G/TBT/N/BDI/309/Add.1, G/TBT/N/KEN/1355/Add.1, G/TBT/N/RWA/750/Add.1, G/TBT/N/TZA/873/Add.1, G/TBT/N/UGA/1720/Add.1")</f>
      </c>
      <c r="D1235" s="8" t="s">
        <v>4218</v>
      </c>
      <c r="E1235" s="8" t="s">
        <v>4219</v>
      </c>
      <c r="F1235" s="8" t="s">
        <v>2081</v>
      </c>
      <c r="G1235" s="8" t="s">
        <v>2082</v>
      </c>
      <c r="H1235" s="8" t="s">
        <v>79</v>
      </c>
      <c r="I1235" s="8" t="s">
        <v>4109</v>
      </c>
      <c r="J1235" s="8" t="s">
        <v>812</v>
      </c>
      <c r="K1235" s="6"/>
      <c r="L1235" s="7" t="s">
        <v>22</v>
      </c>
      <c r="M1235" s="6" t="s">
        <v>40</v>
      </c>
      <c r="N1235" s="6"/>
      <c r="O1235" s="6">
        <f>HYPERLINK("https://docs.wto.org/imrd/directdoc.asp?DDFDocuments/t/G/TBTN22/BDI309A1.DOCX", "https://docs.wto.org/imrd/directdoc.asp?DDFDocuments/t/G/TBTN22/BDI309A1.DOCX")</f>
      </c>
      <c r="P1235" s="6">
        <f>HYPERLINK("https://docs.wto.org/imrd/directdoc.asp?DDFDocuments/u/G/TBTN22/BDI309A1.DOCX", "https://docs.wto.org/imrd/directdoc.asp?DDFDocuments/u/G/TBTN22/BDI309A1.DOCX")</f>
      </c>
      <c r="Q1235" s="6">
        <f>HYPERLINK("https://docs.wto.org/imrd/directdoc.asp?DDFDocuments/v/G/TBTN22/BDI309A1.DOCX", "https://docs.wto.org/imrd/directdoc.asp?DDFDocuments/v/G/TBTN22/BDI309A1.DOCX")</f>
      </c>
    </row>
    <row r="1236">
      <c r="A1236" s="6" t="s">
        <v>1936</v>
      </c>
      <c r="B1236" s="7">
        <v>45587</v>
      </c>
      <c r="C1236" s="9">
        <f>HYPERLINK("https://eping.wto.org/en/Search?viewData= G/TBT/N/ISR/1357"," G/TBT/N/ISR/1357")</f>
      </c>
      <c r="D1236" s="8" t="s">
        <v>4239</v>
      </c>
      <c r="E1236" s="8" t="s">
        <v>4240</v>
      </c>
      <c r="F1236" s="8" t="s">
        <v>4241</v>
      </c>
      <c r="G1236" s="8" t="s">
        <v>4242</v>
      </c>
      <c r="H1236" s="8" t="s">
        <v>4243</v>
      </c>
      <c r="I1236" s="8" t="s">
        <v>823</v>
      </c>
      <c r="J1236" s="8" t="s">
        <v>22</v>
      </c>
      <c r="K1236" s="6"/>
      <c r="L1236" s="7">
        <v>45647</v>
      </c>
      <c r="M1236" s="6" t="s">
        <v>32</v>
      </c>
      <c r="N1236" s="8" t="s">
        <v>4244</v>
      </c>
      <c r="O1236" s="6">
        <f>HYPERLINK("https://docs.wto.org/imrd/directdoc.asp?DDFDocuments/t/G/TBTN24/ISR1357.DOCX", "https://docs.wto.org/imrd/directdoc.asp?DDFDocuments/t/G/TBTN24/ISR1357.DOCX")</f>
      </c>
      <c r="P1236" s="6">
        <f>HYPERLINK("https://docs.wto.org/imrd/directdoc.asp?DDFDocuments/u/G/TBTN24/ISR1357.DOCX", "https://docs.wto.org/imrd/directdoc.asp?DDFDocuments/u/G/TBTN24/ISR1357.DOCX")</f>
      </c>
      <c r="Q1236" s="6">
        <f>HYPERLINK("https://docs.wto.org/imrd/directdoc.asp?DDFDocuments/v/G/TBTN24/ISR1357.DOCX", "https://docs.wto.org/imrd/directdoc.asp?DDFDocuments/v/G/TBTN24/ISR1357.DOCX")</f>
      </c>
    </row>
    <row r="1237">
      <c r="A1237" s="6" t="s">
        <v>400</v>
      </c>
      <c r="B1237" s="7">
        <v>45587</v>
      </c>
      <c r="C1237" s="9">
        <f>HYPERLINK("https://eping.wto.org/en/Search?viewData= G/TBT/N/USA/998/Rev.1/Add.3"," G/TBT/N/USA/998/Rev.1/Add.3")</f>
      </c>
      <c r="D1237" s="8" t="s">
        <v>4245</v>
      </c>
      <c r="E1237" s="8" t="s">
        <v>4246</v>
      </c>
      <c r="F1237" s="8" t="s">
        <v>4247</v>
      </c>
      <c r="G1237" s="8" t="s">
        <v>4248</v>
      </c>
      <c r="H1237" s="8" t="s">
        <v>4249</v>
      </c>
      <c r="I1237" s="8" t="s">
        <v>1461</v>
      </c>
      <c r="J1237" s="8" t="s">
        <v>22</v>
      </c>
      <c r="K1237" s="6"/>
      <c r="L1237" s="7" t="s">
        <v>22</v>
      </c>
      <c r="M1237" s="6" t="s">
        <v>40</v>
      </c>
      <c r="N1237" s="8" t="s">
        <v>4250</v>
      </c>
      <c r="O1237" s="6">
        <f>HYPERLINK("https://docs.wto.org/imrd/directdoc.asp?DDFDocuments/t/G/TBTN15/USA998R1A3.DOCX", "https://docs.wto.org/imrd/directdoc.asp?DDFDocuments/t/G/TBTN15/USA998R1A3.DOCX")</f>
      </c>
      <c r="P1237" s="6">
        <f>HYPERLINK("https://docs.wto.org/imrd/directdoc.asp?DDFDocuments/u/G/TBTN15/USA998R1A3.DOCX", "https://docs.wto.org/imrd/directdoc.asp?DDFDocuments/u/G/TBTN15/USA998R1A3.DOCX")</f>
      </c>
      <c r="Q1237" s="6">
        <f>HYPERLINK("https://docs.wto.org/imrd/directdoc.asp?DDFDocuments/v/G/TBTN15/USA998R1A3.DOCX", "https://docs.wto.org/imrd/directdoc.asp?DDFDocuments/v/G/TBTN15/USA998R1A3.DOCX")</f>
      </c>
    </row>
    <row r="1238">
      <c r="A1238" s="6" t="s">
        <v>513</v>
      </c>
      <c r="B1238" s="7">
        <v>45587</v>
      </c>
      <c r="C1238" s="9">
        <f>HYPERLINK("https://eping.wto.org/en/Search?viewData= G/SPS/N/IND/313"," G/SPS/N/IND/313")</f>
      </c>
      <c r="D1238" s="8" t="s">
        <v>1356</v>
      </c>
      <c r="E1238" s="8" t="s">
        <v>4251</v>
      </c>
      <c r="F1238" s="8" t="s">
        <v>149</v>
      </c>
      <c r="G1238" s="8" t="s">
        <v>22</v>
      </c>
      <c r="H1238" s="8" t="s">
        <v>22</v>
      </c>
      <c r="I1238" s="8" t="s">
        <v>120</v>
      </c>
      <c r="J1238" s="8" t="s">
        <v>121</v>
      </c>
      <c r="K1238" s="6" t="s">
        <v>22</v>
      </c>
      <c r="L1238" s="7">
        <v>45647</v>
      </c>
      <c r="M1238" s="6" t="s">
        <v>32</v>
      </c>
      <c r="N1238" s="8" t="s">
        <v>4252</v>
      </c>
      <c r="O1238" s="6">
        <f>HYPERLINK("https://docs.wto.org/imrd/directdoc.asp?DDFDocuments/t/G/SPS/NIND313.DOCX", "https://docs.wto.org/imrd/directdoc.asp?DDFDocuments/t/G/SPS/NIND313.DOCX")</f>
      </c>
      <c r="P1238" s="6">
        <f>HYPERLINK("https://docs.wto.org/imrd/directdoc.asp?DDFDocuments/u/G/SPS/NIND313.DOCX", "https://docs.wto.org/imrd/directdoc.asp?DDFDocuments/u/G/SPS/NIND313.DOCX")</f>
      </c>
      <c r="Q1238" s="6">
        <f>HYPERLINK("https://docs.wto.org/imrd/directdoc.asp?DDFDocuments/v/G/SPS/NIND313.DOCX", "https://docs.wto.org/imrd/directdoc.asp?DDFDocuments/v/G/SPS/NIND313.DOCX")</f>
      </c>
    </row>
    <row r="1239">
      <c r="A1239" s="6" t="s">
        <v>68</v>
      </c>
      <c r="B1239" s="7">
        <v>45587</v>
      </c>
      <c r="C1239" s="9">
        <f>HYPERLINK("https://eping.wto.org/en/Search?viewData= G/TBT/N/BDI/273/Add.2, G/TBT/N/KEN/1301/Add.2, G/TBT/N/RWA/707/Add.2, G/TBT/N/TZA/826/Add.2, G/TBT/N/UGA/1681/Add.2"," G/TBT/N/BDI/273/Add.2, G/TBT/N/KEN/1301/Add.2, G/TBT/N/RWA/707/Add.2, G/TBT/N/TZA/826/Add.2, G/TBT/N/UGA/1681/Add.2")</f>
      </c>
      <c r="D1239" s="8" t="s">
        <v>4223</v>
      </c>
      <c r="E1239" s="8" t="s">
        <v>4224</v>
      </c>
      <c r="F1239" s="8" t="s">
        <v>4225</v>
      </c>
      <c r="G1239" s="8" t="s">
        <v>21</v>
      </c>
      <c r="H1239" s="8" t="s">
        <v>2073</v>
      </c>
      <c r="I1239" s="8" t="s">
        <v>4253</v>
      </c>
      <c r="J1239" s="8" t="s">
        <v>761</v>
      </c>
      <c r="K1239" s="6"/>
      <c r="L1239" s="7" t="s">
        <v>22</v>
      </c>
      <c r="M1239" s="6" t="s">
        <v>40</v>
      </c>
      <c r="N1239" s="6"/>
      <c r="O1239" s="6">
        <f>HYPERLINK("https://docs.wto.org/imrd/directdoc.asp?DDFDocuments/t/G/TBTN22/BDI273A2.DOCX", "https://docs.wto.org/imrd/directdoc.asp?DDFDocuments/t/G/TBTN22/BDI273A2.DOCX")</f>
      </c>
      <c r="P1239" s="6">
        <f>HYPERLINK("https://docs.wto.org/imrd/directdoc.asp?DDFDocuments/u/G/TBTN22/BDI273A2.DOCX", "https://docs.wto.org/imrd/directdoc.asp?DDFDocuments/u/G/TBTN22/BDI273A2.DOCX")</f>
      </c>
      <c r="Q1239" s="6">
        <f>HYPERLINK("https://docs.wto.org/imrd/directdoc.asp?DDFDocuments/v/G/TBTN22/BDI273A2.DOCX", "https://docs.wto.org/imrd/directdoc.asp?DDFDocuments/v/G/TBTN22/BDI273A2.DOCX")</f>
      </c>
    </row>
    <row r="1240">
      <c r="A1240" s="6" t="s">
        <v>1936</v>
      </c>
      <c r="B1240" s="7">
        <v>45587</v>
      </c>
      <c r="C1240" s="9">
        <f>HYPERLINK("https://eping.wto.org/en/Search?viewData= G/TBT/N/ISR/1359"," G/TBT/N/ISR/1359")</f>
      </c>
      <c r="D1240" s="8" t="s">
        <v>4254</v>
      </c>
      <c r="E1240" s="8" t="s">
        <v>4255</v>
      </c>
      <c r="F1240" s="8" t="s">
        <v>4256</v>
      </c>
      <c r="G1240" s="8" t="s">
        <v>4257</v>
      </c>
      <c r="H1240" s="8" t="s">
        <v>1169</v>
      </c>
      <c r="I1240" s="8" t="s">
        <v>823</v>
      </c>
      <c r="J1240" s="8" t="s">
        <v>139</v>
      </c>
      <c r="K1240" s="6"/>
      <c r="L1240" s="7">
        <v>45647</v>
      </c>
      <c r="M1240" s="6" t="s">
        <v>32</v>
      </c>
      <c r="N1240" s="8" t="s">
        <v>4258</v>
      </c>
      <c r="O1240" s="6">
        <f>HYPERLINK("https://docs.wto.org/imrd/directdoc.asp?DDFDocuments/t/G/TBTN24/ISR1359.DOCX", "https://docs.wto.org/imrd/directdoc.asp?DDFDocuments/t/G/TBTN24/ISR1359.DOCX")</f>
      </c>
      <c r="P1240" s="6">
        <f>HYPERLINK("https://docs.wto.org/imrd/directdoc.asp?DDFDocuments/u/G/TBTN24/ISR1359.DOCX", "https://docs.wto.org/imrd/directdoc.asp?DDFDocuments/u/G/TBTN24/ISR1359.DOCX")</f>
      </c>
      <c r="Q1240" s="6">
        <f>HYPERLINK("https://docs.wto.org/imrd/directdoc.asp?DDFDocuments/v/G/TBTN24/ISR1359.DOCX", "https://docs.wto.org/imrd/directdoc.asp?DDFDocuments/v/G/TBTN24/ISR1359.DOCX")</f>
      </c>
    </row>
    <row r="1241">
      <c r="A1241" s="6" t="s">
        <v>60</v>
      </c>
      <c r="B1241" s="7">
        <v>45587</v>
      </c>
      <c r="C1241" s="9">
        <f>HYPERLINK("https://eping.wto.org/en/Search?viewData= G/TBT/N/BDI/273/Add.2, G/TBT/N/KEN/1301/Add.2, G/TBT/N/RWA/707/Add.2, G/TBT/N/TZA/826/Add.2, G/TBT/N/UGA/1681/Add.2"," G/TBT/N/BDI/273/Add.2, G/TBT/N/KEN/1301/Add.2, G/TBT/N/RWA/707/Add.2, G/TBT/N/TZA/826/Add.2, G/TBT/N/UGA/1681/Add.2")</f>
      </c>
      <c r="D1241" s="8" t="s">
        <v>4223</v>
      </c>
      <c r="E1241" s="8" t="s">
        <v>4224</v>
      </c>
      <c r="F1241" s="8" t="s">
        <v>4225</v>
      </c>
      <c r="G1241" s="8" t="s">
        <v>21</v>
      </c>
      <c r="H1241" s="8" t="s">
        <v>2073</v>
      </c>
      <c r="I1241" s="8" t="s">
        <v>4226</v>
      </c>
      <c r="J1241" s="8" t="s">
        <v>761</v>
      </c>
      <c r="K1241" s="6"/>
      <c r="L1241" s="7" t="s">
        <v>22</v>
      </c>
      <c r="M1241" s="6" t="s">
        <v>40</v>
      </c>
      <c r="N1241" s="6"/>
      <c r="O1241" s="6">
        <f>HYPERLINK("https://docs.wto.org/imrd/directdoc.asp?DDFDocuments/t/G/TBTN22/BDI273A2.DOCX", "https://docs.wto.org/imrd/directdoc.asp?DDFDocuments/t/G/TBTN22/BDI273A2.DOCX")</f>
      </c>
      <c r="P1241" s="6">
        <f>HYPERLINK("https://docs.wto.org/imrd/directdoc.asp?DDFDocuments/u/G/TBTN22/BDI273A2.DOCX", "https://docs.wto.org/imrd/directdoc.asp?DDFDocuments/u/G/TBTN22/BDI273A2.DOCX")</f>
      </c>
      <c r="Q1241" s="6">
        <f>HYPERLINK("https://docs.wto.org/imrd/directdoc.asp?DDFDocuments/v/G/TBTN22/BDI273A2.DOCX", "https://docs.wto.org/imrd/directdoc.asp?DDFDocuments/v/G/TBTN22/BDI273A2.DOCX")</f>
      </c>
    </row>
    <row r="1242">
      <c r="A1242" s="6" t="s">
        <v>49</v>
      </c>
      <c r="B1242" s="7">
        <v>45587</v>
      </c>
      <c r="C1242" s="9">
        <f>HYPERLINK("https://eping.wto.org/en/Search?viewData= G/TBT/N/BDI/266/Add.2, G/TBT/N/KEN/1295/Add.2, G/TBT/N/RWA/701/Add.2, G/TBT/N/TZA/820/Add.2, G/TBT/N/UGA/1675/Add.2"," G/TBT/N/BDI/266/Add.2, G/TBT/N/KEN/1295/Add.2, G/TBT/N/RWA/701/Add.2, G/TBT/N/TZA/820/Add.2, G/TBT/N/UGA/1675/Add.2")</f>
      </c>
      <c r="D1242" s="8" t="s">
        <v>4259</v>
      </c>
      <c r="E1242" s="8" t="s">
        <v>4260</v>
      </c>
      <c r="F1242" s="8" t="s">
        <v>4261</v>
      </c>
      <c r="G1242" s="8" t="s">
        <v>4169</v>
      </c>
      <c r="H1242" s="8" t="s">
        <v>4170</v>
      </c>
      <c r="I1242" s="8" t="s">
        <v>4165</v>
      </c>
      <c r="J1242" s="8" t="s">
        <v>812</v>
      </c>
      <c r="K1242" s="6"/>
      <c r="L1242" s="7" t="s">
        <v>22</v>
      </c>
      <c r="M1242" s="6" t="s">
        <v>40</v>
      </c>
      <c r="N1242" s="6"/>
      <c r="O1242" s="6">
        <f>HYPERLINK("https://docs.wto.org/imrd/directdoc.asp?DDFDocuments/t/G/TBTN22/BDI266A2.DOCX", "https://docs.wto.org/imrd/directdoc.asp?DDFDocuments/t/G/TBTN22/BDI266A2.DOCX")</f>
      </c>
      <c r="P1242" s="6">
        <f>HYPERLINK("https://docs.wto.org/imrd/directdoc.asp?DDFDocuments/u/G/TBTN22/BDI266A2.DOCX", "https://docs.wto.org/imrd/directdoc.asp?DDFDocuments/u/G/TBTN22/BDI266A2.DOCX")</f>
      </c>
      <c r="Q1242" s="6">
        <f>HYPERLINK("https://docs.wto.org/imrd/directdoc.asp?DDFDocuments/v/G/TBTN22/BDI266A2.DOCX", "https://docs.wto.org/imrd/directdoc.asp?DDFDocuments/v/G/TBTN22/BDI266A2.DOCX")</f>
      </c>
    </row>
    <row r="1243">
      <c r="A1243" s="6" t="s">
        <v>26</v>
      </c>
      <c r="B1243" s="7">
        <v>45587</v>
      </c>
      <c r="C1243" s="9">
        <f>HYPERLINK("https://eping.wto.org/en/Search?viewData= G/TBT/N/BDI/268/Add.2, G/TBT/N/KEN/1297/Add.2, G/TBT/N/RWA/703/Add.2, G/TBT/N/TZA/822/Add.2, G/TBT/N/UGA/1677/Add.2"," G/TBT/N/BDI/268/Add.2, G/TBT/N/KEN/1297/Add.2, G/TBT/N/RWA/703/Add.2, G/TBT/N/TZA/822/Add.2, G/TBT/N/UGA/1677/Add.2")</f>
      </c>
      <c r="D1243" s="8" t="s">
        <v>4193</v>
      </c>
      <c r="E1243" s="8" t="s">
        <v>4194</v>
      </c>
      <c r="F1243" s="8" t="s">
        <v>4168</v>
      </c>
      <c r="G1243" s="8" t="s">
        <v>4169</v>
      </c>
      <c r="H1243" s="8" t="s">
        <v>4170</v>
      </c>
      <c r="I1243" s="8" t="s">
        <v>4165</v>
      </c>
      <c r="J1243" s="8" t="s">
        <v>812</v>
      </c>
      <c r="K1243" s="6"/>
      <c r="L1243" s="7" t="s">
        <v>22</v>
      </c>
      <c r="M1243" s="6" t="s">
        <v>40</v>
      </c>
      <c r="N1243" s="6"/>
      <c r="O1243" s="6">
        <f>HYPERLINK("https://docs.wto.org/imrd/directdoc.asp?DDFDocuments/t/G/TBTN22/BDI268A2.DOCX", "https://docs.wto.org/imrd/directdoc.asp?DDFDocuments/t/G/TBTN22/BDI268A2.DOCX")</f>
      </c>
      <c r="P1243" s="6">
        <f>HYPERLINK("https://docs.wto.org/imrd/directdoc.asp?DDFDocuments/u/G/TBTN22/BDI268A2.DOCX", "https://docs.wto.org/imrd/directdoc.asp?DDFDocuments/u/G/TBTN22/BDI268A2.DOCX")</f>
      </c>
      <c r="Q1243" s="6">
        <f>HYPERLINK("https://docs.wto.org/imrd/directdoc.asp?DDFDocuments/v/G/TBTN22/BDI268A2.DOCX", "https://docs.wto.org/imrd/directdoc.asp?DDFDocuments/v/G/TBTN22/BDI268A2.DOCX")</f>
      </c>
    </row>
    <row r="1244">
      <c r="A1244" s="6" t="s">
        <v>26</v>
      </c>
      <c r="B1244" s="7">
        <v>45587</v>
      </c>
      <c r="C1244" s="9">
        <f>HYPERLINK("https://eping.wto.org/en/Search?viewData= G/TBT/N/BDI/230/Add.2, G/TBT/N/KEN/1239/Add.2, G/TBT/N/RWA/656/Add.2, G/TBT/N/TZA/731/Add.2, G/TBT/N/UGA/1563/Add.2"," G/TBT/N/BDI/230/Add.2, G/TBT/N/KEN/1239/Add.2, G/TBT/N/RWA/656/Add.2, G/TBT/N/TZA/731/Add.2, G/TBT/N/UGA/1563/Add.2")</f>
      </c>
      <c r="D1244" s="8" t="s">
        <v>4195</v>
      </c>
      <c r="E1244" s="8" t="s">
        <v>4196</v>
      </c>
      <c r="F1244" s="8" t="s">
        <v>4197</v>
      </c>
      <c r="G1244" s="8" t="s">
        <v>22</v>
      </c>
      <c r="H1244" s="8" t="s">
        <v>2602</v>
      </c>
      <c r="I1244" s="8" t="s">
        <v>4198</v>
      </c>
      <c r="J1244" s="8" t="s">
        <v>4199</v>
      </c>
      <c r="K1244" s="6"/>
      <c r="L1244" s="7" t="s">
        <v>22</v>
      </c>
      <c r="M1244" s="6" t="s">
        <v>40</v>
      </c>
      <c r="N1244" s="6"/>
      <c r="O1244" s="6">
        <f>HYPERLINK("https://docs.wto.org/imrd/directdoc.asp?DDFDocuments/t/G/TBTN22/BDI230A2.DOCX", "https://docs.wto.org/imrd/directdoc.asp?DDFDocuments/t/G/TBTN22/BDI230A2.DOCX")</f>
      </c>
      <c r="P1244" s="6">
        <f>HYPERLINK("https://docs.wto.org/imrd/directdoc.asp?DDFDocuments/u/G/TBTN22/BDI230A2.DOCX", "https://docs.wto.org/imrd/directdoc.asp?DDFDocuments/u/G/TBTN22/BDI230A2.DOCX")</f>
      </c>
      <c r="Q1244" s="6">
        <f>HYPERLINK("https://docs.wto.org/imrd/directdoc.asp?DDFDocuments/v/G/TBTN22/BDI230A2.DOCX", "https://docs.wto.org/imrd/directdoc.asp?DDFDocuments/v/G/TBTN22/BDI230A2.DOCX")</f>
      </c>
    </row>
    <row r="1245">
      <c r="A1245" s="6" t="s">
        <v>68</v>
      </c>
      <c r="B1245" s="7">
        <v>45587</v>
      </c>
      <c r="C1245" s="9">
        <f>HYPERLINK("https://eping.wto.org/en/Search?viewData= G/TBT/N/BDI/216/Add.2, G/TBT/N/KEN/1225/Add.2, G/TBT/N/RWA/642/Add.2, G/TBT/N/TZA/717/Add.2, G/TBT/N/UGA/1549/Add.2"," G/TBT/N/BDI/216/Add.2, G/TBT/N/KEN/1225/Add.2, G/TBT/N/RWA/642/Add.2, G/TBT/N/TZA/717/Add.2, G/TBT/N/UGA/1549/Add.2")</f>
      </c>
      <c r="D1245" s="8" t="s">
        <v>4262</v>
      </c>
      <c r="E1245" s="8" t="s">
        <v>4263</v>
      </c>
      <c r="F1245" s="8" t="s">
        <v>4197</v>
      </c>
      <c r="G1245" s="8" t="s">
        <v>22</v>
      </c>
      <c r="H1245" s="8" t="s">
        <v>2602</v>
      </c>
      <c r="I1245" s="8" t="s">
        <v>2571</v>
      </c>
      <c r="J1245" s="8" t="s">
        <v>4264</v>
      </c>
      <c r="K1245" s="6"/>
      <c r="L1245" s="7" t="s">
        <v>22</v>
      </c>
      <c r="M1245" s="6" t="s">
        <v>40</v>
      </c>
      <c r="N1245" s="6"/>
      <c r="O1245" s="6">
        <f>HYPERLINK("https://docs.wto.org/imrd/directdoc.asp?DDFDocuments/t/G/TBTN22/BDI216A2.DOCX", "https://docs.wto.org/imrd/directdoc.asp?DDFDocuments/t/G/TBTN22/BDI216A2.DOCX")</f>
      </c>
      <c r="P1245" s="6">
        <f>HYPERLINK("https://docs.wto.org/imrd/directdoc.asp?DDFDocuments/u/G/TBTN22/BDI216A2.DOCX", "https://docs.wto.org/imrd/directdoc.asp?DDFDocuments/u/G/TBTN22/BDI216A2.DOCX")</f>
      </c>
      <c r="Q1245" s="6">
        <f>HYPERLINK("https://docs.wto.org/imrd/directdoc.asp?DDFDocuments/v/G/TBTN22/BDI216A2.DOCX", "https://docs.wto.org/imrd/directdoc.asp?DDFDocuments/v/G/TBTN22/BDI216A2.DOCX")</f>
      </c>
    </row>
    <row r="1246">
      <c r="A1246" s="6" t="s">
        <v>53</v>
      </c>
      <c r="B1246" s="7">
        <v>45587</v>
      </c>
      <c r="C1246" s="9">
        <f>HYPERLINK("https://eping.wto.org/en/Search?viewData= G/TBT/N/BDI/279/Add.2, G/TBT/N/KEN/1313/Add.2, G/TBT/N/RWA/713/Add.2, G/TBT/N/TZA/832/Add.2, G/TBT/N/UGA/1687/Add.2"," G/TBT/N/BDI/279/Add.2, G/TBT/N/KEN/1313/Add.2, G/TBT/N/RWA/713/Add.2, G/TBT/N/TZA/832/Add.2, G/TBT/N/UGA/1687/Add.2")</f>
      </c>
      <c r="D1246" s="8" t="s">
        <v>4184</v>
      </c>
      <c r="E1246" s="8" t="s">
        <v>4185</v>
      </c>
      <c r="F1246" s="8" t="s">
        <v>4186</v>
      </c>
      <c r="G1246" s="8" t="s">
        <v>2144</v>
      </c>
      <c r="H1246" s="8" t="s">
        <v>2073</v>
      </c>
      <c r="I1246" s="8" t="s">
        <v>4238</v>
      </c>
      <c r="J1246" s="8" t="s">
        <v>812</v>
      </c>
      <c r="K1246" s="6"/>
      <c r="L1246" s="7" t="s">
        <v>22</v>
      </c>
      <c r="M1246" s="6" t="s">
        <v>40</v>
      </c>
      <c r="N1246" s="6"/>
      <c r="O1246" s="6">
        <f>HYPERLINK("https://docs.wto.org/imrd/directdoc.asp?DDFDocuments/t/G/TBTN22/BDI279A2.DOCX", "https://docs.wto.org/imrd/directdoc.asp?DDFDocuments/t/G/TBTN22/BDI279A2.DOCX")</f>
      </c>
      <c r="P1246" s="6">
        <f>HYPERLINK("https://docs.wto.org/imrd/directdoc.asp?DDFDocuments/u/G/TBTN22/BDI279A2.DOCX", "https://docs.wto.org/imrd/directdoc.asp?DDFDocuments/u/G/TBTN22/BDI279A2.DOCX")</f>
      </c>
      <c r="Q1246" s="6">
        <f>HYPERLINK("https://docs.wto.org/imrd/directdoc.asp?DDFDocuments/v/G/TBTN22/BDI279A2.DOCX", "https://docs.wto.org/imrd/directdoc.asp?DDFDocuments/v/G/TBTN22/BDI279A2.DOCX")</f>
      </c>
    </row>
    <row r="1247">
      <c r="A1247" s="6" t="s">
        <v>53</v>
      </c>
      <c r="B1247" s="7">
        <v>45587</v>
      </c>
      <c r="C1247" s="9">
        <f>HYPERLINK("https://eping.wto.org/en/Search?viewData= G/TBT/N/BDI/269/Add.2, G/TBT/N/KEN/1298/Add.2, G/TBT/N/RWA/704/Add.2, G/TBT/N/TZA/823/Add.2, G/TBT/N/UGA/1678/Add.2"," G/TBT/N/BDI/269/Add.2, G/TBT/N/KEN/1298/Add.2, G/TBT/N/RWA/704/Add.2, G/TBT/N/TZA/823/Add.2, G/TBT/N/UGA/1678/Add.2")</f>
      </c>
      <c r="D1247" s="8" t="s">
        <v>4201</v>
      </c>
      <c r="E1247" s="8" t="s">
        <v>4202</v>
      </c>
      <c r="F1247" s="8" t="s">
        <v>4168</v>
      </c>
      <c r="G1247" s="8" t="s">
        <v>4169</v>
      </c>
      <c r="H1247" s="8" t="s">
        <v>4170</v>
      </c>
      <c r="I1247" s="8" t="s">
        <v>4165</v>
      </c>
      <c r="J1247" s="8" t="s">
        <v>812</v>
      </c>
      <c r="K1247" s="6"/>
      <c r="L1247" s="7" t="s">
        <v>22</v>
      </c>
      <c r="M1247" s="6" t="s">
        <v>40</v>
      </c>
      <c r="N1247" s="6"/>
      <c r="O1247" s="6">
        <f>HYPERLINK("https://docs.wto.org/imrd/directdoc.asp?DDFDocuments/t/G/TBTN23/BDI269A2.DOCX", "https://docs.wto.org/imrd/directdoc.asp?DDFDocuments/t/G/TBTN23/BDI269A2.DOCX")</f>
      </c>
      <c r="P1247" s="6">
        <f>HYPERLINK("https://docs.wto.org/imrd/directdoc.asp?DDFDocuments/u/G/TBTN23/BDI269A2.DOCX", "https://docs.wto.org/imrd/directdoc.asp?DDFDocuments/u/G/TBTN23/BDI269A2.DOCX")</f>
      </c>
      <c r="Q1247" s="6">
        <f>HYPERLINK("https://docs.wto.org/imrd/directdoc.asp?DDFDocuments/v/G/TBTN23/BDI269A2.DOCX", "https://docs.wto.org/imrd/directdoc.asp?DDFDocuments/v/G/TBTN23/BDI269A2.DOCX")</f>
      </c>
    </row>
    <row r="1248">
      <c r="A1248" s="6" t="s">
        <v>49</v>
      </c>
      <c r="B1248" s="7">
        <v>45587</v>
      </c>
      <c r="C1248" s="9">
        <f>HYPERLINK("https://eping.wto.org/en/Search?viewData= G/TBT/N/BDI/269/Add.2, G/TBT/N/KEN/1298/Add.2, G/TBT/N/RWA/704/Add.2, G/TBT/N/TZA/823/Add.2, G/TBT/N/UGA/1678/Add.2"," G/TBT/N/BDI/269/Add.2, G/TBT/N/KEN/1298/Add.2, G/TBT/N/RWA/704/Add.2, G/TBT/N/TZA/823/Add.2, G/TBT/N/UGA/1678/Add.2")</f>
      </c>
      <c r="D1248" s="8" t="s">
        <v>4201</v>
      </c>
      <c r="E1248" s="8" t="s">
        <v>4202</v>
      </c>
      <c r="F1248" s="8" t="s">
        <v>4168</v>
      </c>
      <c r="G1248" s="8" t="s">
        <v>4169</v>
      </c>
      <c r="H1248" s="8" t="s">
        <v>4170</v>
      </c>
      <c r="I1248" s="8" t="s">
        <v>4165</v>
      </c>
      <c r="J1248" s="8" t="s">
        <v>812</v>
      </c>
      <c r="K1248" s="6"/>
      <c r="L1248" s="7" t="s">
        <v>22</v>
      </c>
      <c r="M1248" s="6" t="s">
        <v>40</v>
      </c>
      <c r="N1248" s="6"/>
      <c r="O1248" s="6">
        <f>HYPERLINK("https://docs.wto.org/imrd/directdoc.asp?DDFDocuments/t/G/TBTN23/BDI269A2.DOCX", "https://docs.wto.org/imrd/directdoc.asp?DDFDocuments/t/G/TBTN23/BDI269A2.DOCX")</f>
      </c>
      <c r="P1248" s="6">
        <f>HYPERLINK("https://docs.wto.org/imrd/directdoc.asp?DDFDocuments/u/G/TBTN23/BDI269A2.DOCX", "https://docs.wto.org/imrd/directdoc.asp?DDFDocuments/u/G/TBTN23/BDI269A2.DOCX")</f>
      </c>
      <c r="Q1248" s="6">
        <f>HYPERLINK("https://docs.wto.org/imrd/directdoc.asp?DDFDocuments/v/G/TBTN23/BDI269A2.DOCX", "https://docs.wto.org/imrd/directdoc.asp?DDFDocuments/v/G/TBTN23/BDI269A2.DOCX")</f>
      </c>
    </row>
    <row r="1249">
      <c r="A1249" s="6" t="s">
        <v>60</v>
      </c>
      <c r="B1249" s="7">
        <v>45587</v>
      </c>
      <c r="C1249" s="9">
        <f>HYPERLINK("https://eping.wto.org/en/Search?viewData= G/TBT/N/BDI/229/Add.2, G/TBT/N/KEN/1238/Add.2, G/TBT/N/RWA/655/Add.2, G/TBT/N/TZA/730/Add.2, G/TBT/N/UGA/1562/Add.2"," G/TBT/N/BDI/229/Add.2, G/TBT/N/KEN/1238/Add.2, G/TBT/N/RWA/655/Add.2, G/TBT/N/TZA/730/Add.2, G/TBT/N/UGA/1562/Add.2")</f>
      </c>
      <c r="D1249" s="8" t="s">
        <v>4204</v>
      </c>
      <c r="E1249" s="8" t="s">
        <v>4205</v>
      </c>
      <c r="F1249" s="8" t="s">
        <v>4197</v>
      </c>
      <c r="G1249" s="8" t="s">
        <v>22</v>
      </c>
      <c r="H1249" s="8" t="s">
        <v>2602</v>
      </c>
      <c r="I1249" s="8" t="s">
        <v>4198</v>
      </c>
      <c r="J1249" s="8" t="s">
        <v>812</v>
      </c>
      <c r="K1249" s="6"/>
      <c r="L1249" s="7" t="s">
        <v>22</v>
      </c>
      <c r="M1249" s="6" t="s">
        <v>40</v>
      </c>
      <c r="N1249" s="6"/>
      <c r="O1249" s="6">
        <f>HYPERLINK("https://docs.wto.org/imrd/directdoc.asp?DDFDocuments/t/G/TBTN22/BDI229A2.DOCX", "https://docs.wto.org/imrd/directdoc.asp?DDFDocuments/t/G/TBTN22/BDI229A2.DOCX")</f>
      </c>
      <c r="P1249" s="6">
        <f>HYPERLINK("https://docs.wto.org/imrd/directdoc.asp?DDFDocuments/u/G/TBTN22/BDI229A2.DOCX", "https://docs.wto.org/imrd/directdoc.asp?DDFDocuments/u/G/TBTN22/BDI229A2.DOCX")</f>
      </c>
      <c r="Q1249" s="6">
        <f>HYPERLINK("https://docs.wto.org/imrd/directdoc.asp?DDFDocuments/v/G/TBTN22/BDI229A2.DOCX", "https://docs.wto.org/imrd/directdoc.asp?DDFDocuments/v/G/TBTN22/BDI229A2.DOCX")</f>
      </c>
    </row>
    <row r="1250">
      <c r="A1250" s="6" t="s">
        <v>26</v>
      </c>
      <c r="B1250" s="7">
        <v>45587</v>
      </c>
      <c r="C1250" s="9">
        <f>HYPERLINK("https://eping.wto.org/en/Search?viewData= G/TBT/N/BDI/216/Add.2, G/TBT/N/KEN/1225/Add.2, G/TBT/N/RWA/642/Add.2, G/TBT/N/TZA/717/Add.2, G/TBT/N/UGA/1549/Add.2"," G/TBT/N/BDI/216/Add.2, G/TBT/N/KEN/1225/Add.2, G/TBT/N/RWA/642/Add.2, G/TBT/N/TZA/717/Add.2, G/TBT/N/UGA/1549/Add.2")</f>
      </c>
      <c r="D1250" s="8" t="s">
        <v>4262</v>
      </c>
      <c r="E1250" s="8" t="s">
        <v>4263</v>
      </c>
      <c r="F1250" s="8" t="s">
        <v>4197</v>
      </c>
      <c r="G1250" s="8" t="s">
        <v>22</v>
      </c>
      <c r="H1250" s="8" t="s">
        <v>2602</v>
      </c>
      <c r="I1250" s="8" t="s">
        <v>4265</v>
      </c>
      <c r="J1250" s="8" t="s">
        <v>4266</v>
      </c>
      <c r="K1250" s="6"/>
      <c r="L1250" s="7" t="s">
        <v>22</v>
      </c>
      <c r="M1250" s="6" t="s">
        <v>40</v>
      </c>
      <c r="N1250" s="6"/>
      <c r="O1250" s="6">
        <f>HYPERLINK("https://docs.wto.org/imrd/directdoc.asp?DDFDocuments/t/G/TBTN22/BDI216A2.DOCX", "https://docs.wto.org/imrd/directdoc.asp?DDFDocuments/t/G/TBTN22/BDI216A2.DOCX")</f>
      </c>
      <c r="P1250" s="6">
        <f>HYPERLINK("https://docs.wto.org/imrd/directdoc.asp?DDFDocuments/u/G/TBTN22/BDI216A2.DOCX", "https://docs.wto.org/imrd/directdoc.asp?DDFDocuments/u/G/TBTN22/BDI216A2.DOCX")</f>
      </c>
      <c r="Q1250" s="6">
        <f>HYPERLINK("https://docs.wto.org/imrd/directdoc.asp?DDFDocuments/v/G/TBTN22/BDI216A2.DOCX", "https://docs.wto.org/imrd/directdoc.asp?DDFDocuments/v/G/TBTN22/BDI216A2.DOCX")</f>
      </c>
    </row>
    <row r="1251">
      <c r="A1251" s="6" t="s">
        <v>49</v>
      </c>
      <c r="B1251" s="7">
        <v>45587</v>
      </c>
      <c r="C1251" s="9">
        <f>HYPERLINK("https://eping.wto.org/en/Search?viewData= G/TBT/N/BDI/216/Add.2, G/TBT/N/KEN/1225/Add.2, G/TBT/N/RWA/642/Add.2, G/TBT/N/TZA/717/Add.2, G/TBT/N/UGA/1549/Add.2"," G/TBT/N/BDI/216/Add.2, G/TBT/N/KEN/1225/Add.2, G/TBT/N/RWA/642/Add.2, G/TBT/N/TZA/717/Add.2, G/TBT/N/UGA/1549/Add.2")</f>
      </c>
      <c r="D1251" s="8" t="s">
        <v>4262</v>
      </c>
      <c r="E1251" s="8" t="s">
        <v>4263</v>
      </c>
      <c r="F1251" s="8" t="s">
        <v>4197</v>
      </c>
      <c r="G1251" s="8" t="s">
        <v>22</v>
      </c>
      <c r="H1251" s="8" t="s">
        <v>2602</v>
      </c>
      <c r="I1251" s="8" t="s">
        <v>4265</v>
      </c>
      <c r="J1251" s="8" t="s">
        <v>4266</v>
      </c>
      <c r="K1251" s="6"/>
      <c r="L1251" s="7" t="s">
        <v>22</v>
      </c>
      <c r="M1251" s="6" t="s">
        <v>40</v>
      </c>
      <c r="N1251" s="6"/>
      <c r="O1251" s="6">
        <f>HYPERLINK("https://docs.wto.org/imrd/directdoc.asp?DDFDocuments/t/G/TBTN22/BDI216A2.DOCX", "https://docs.wto.org/imrd/directdoc.asp?DDFDocuments/t/G/TBTN22/BDI216A2.DOCX")</f>
      </c>
      <c r="P1251" s="6">
        <f>HYPERLINK("https://docs.wto.org/imrd/directdoc.asp?DDFDocuments/u/G/TBTN22/BDI216A2.DOCX", "https://docs.wto.org/imrd/directdoc.asp?DDFDocuments/u/G/TBTN22/BDI216A2.DOCX")</f>
      </c>
      <c r="Q1251" s="6">
        <f>HYPERLINK("https://docs.wto.org/imrd/directdoc.asp?DDFDocuments/v/G/TBTN22/BDI216A2.DOCX", "https://docs.wto.org/imrd/directdoc.asp?DDFDocuments/v/G/TBTN22/BDI216A2.DOCX")</f>
      </c>
    </row>
    <row r="1252">
      <c r="A1252" s="6" t="s">
        <v>400</v>
      </c>
      <c r="B1252" s="7">
        <v>45587</v>
      </c>
      <c r="C1252" s="9">
        <f>HYPERLINK("https://eping.wto.org/en/Search?viewData= G/TBT/N/USA/709/Rev.1/Add.3"," G/TBT/N/USA/709/Rev.1/Add.3")</f>
      </c>
      <c r="D1252" s="8" t="s">
        <v>4267</v>
      </c>
      <c r="E1252" s="8" t="s">
        <v>4268</v>
      </c>
      <c r="F1252" s="8" t="s">
        <v>4269</v>
      </c>
      <c r="G1252" s="8" t="s">
        <v>4270</v>
      </c>
      <c r="H1252" s="8" t="s">
        <v>4271</v>
      </c>
      <c r="I1252" s="8" t="s">
        <v>1461</v>
      </c>
      <c r="J1252" s="8" t="s">
        <v>22</v>
      </c>
      <c r="K1252" s="6"/>
      <c r="L1252" s="7" t="s">
        <v>22</v>
      </c>
      <c r="M1252" s="6" t="s">
        <v>40</v>
      </c>
      <c r="N1252" s="8" t="s">
        <v>4272</v>
      </c>
      <c r="O1252" s="6">
        <f>HYPERLINK("https://docs.wto.org/imrd/directdoc.asp?DDFDocuments/t/G/TBTN12/USA709R1A3.DOCX", "https://docs.wto.org/imrd/directdoc.asp?DDFDocuments/t/G/TBTN12/USA709R1A3.DOCX")</f>
      </c>
      <c r="P1252" s="6">
        <f>HYPERLINK("https://docs.wto.org/imrd/directdoc.asp?DDFDocuments/u/G/TBTN12/USA709R1A3.DOCX", "https://docs.wto.org/imrd/directdoc.asp?DDFDocuments/u/G/TBTN12/USA709R1A3.DOCX")</f>
      </c>
      <c r="Q1252" s="6">
        <f>HYPERLINK("https://docs.wto.org/imrd/directdoc.asp?DDFDocuments/v/G/TBTN12/USA709R1A3.DOCX", "https://docs.wto.org/imrd/directdoc.asp?DDFDocuments/v/G/TBTN12/USA709R1A3.DOCX")</f>
      </c>
    </row>
    <row r="1253">
      <c r="A1253" s="6" t="s">
        <v>26</v>
      </c>
      <c r="B1253" s="7">
        <v>45587</v>
      </c>
      <c r="C1253" s="9">
        <f>HYPERLINK("https://eping.wto.org/en/Search?viewData= G/TBT/N/BDI/279/Add.2, G/TBT/N/KEN/1313/Add.2, G/TBT/N/RWA/713/Add.2, G/TBT/N/TZA/832/Add.2, G/TBT/N/UGA/1687/Add.2"," G/TBT/N/BDI/279/Add.2, G/TBT/N/KEN/1313/Add.2, G/TBT/N/RWA/713/Add.2, G/TBT/N/TZA/832/Add.2, G/TBT/N/UGA/1687/Add.2")</f>
      </c>
      <c r="D1253" s="8" t="s">
        <v>4184</v>
      </c>
      <c r="E1253" s="8" t="s">
        <v>4185</v>
      </c>
      <c r="F1253" s="8" t="s">
        <v>4186</v>
      </c>
      <c r="G1253" s="8" t="s">
        <v>2144</v>
      </c>
      <c r="H1253" s="8" t="s">
        <v>2073</v>
      </c>
      <c r="I1253" s="8" t="s">
        <v>4238</v>
      </c>
      <c r="J1253" s="8" t="s">
        <v>812</v>
      </c>
      <c r="K1253" s="6"/>
      <c r="L1253" s="7" t="s">
        <v>22</v>
      </c>
      <c r="M1253" s="6" t="s">
        <v>40</v>
      </c>
      <c r="N1253" s="6"/>
      <c r="O1253" s="6">
        <f>HYPERLINK("https://docs.wto.org/imrd/directdoc.asp?DDFDocuments/t/G/TBTN22/BDI279A2.DOCX", "https://docs.wto.org/imrd/directdoc.asp?DDFDocuments/t/G/TBTN22/BDI279A2.DOCX")</f>
      </c>
      <c r="P1253" s="6">
        <f>HYPERLINK("https://docs.wto.org/imrd/directdoc.asp?DDFDocuments/u/G/TBTN22/BDI279A2.DOCX", "https://docs.wto.org/imrd/directdoc.asp?DDFDocuments/u/G/TBTN22/BDI279A2.DOCX")</f>
      </c>
      <c r="Q1253" s="6">
        <f>HYPERLINK("https://docs.wto.org/imrd/directdoc.asp?DDFDocuments/v/G/TBTN22/BDI279A2.DOCX", "https://docs.wto.org/imrd/directdoc.asp?DDFDocuments/v/G/TBTN22/BDI279A2.DOCX")</f>
      </c>
    </row>
    <row r="1254">
      <c r="A1254" s="6" t="s">
        <v>26</v>
      </c>
      <c r="B1254" s="7">
        <v>45587</v>
      </c>
      <c r="C1254" s="9">
        <f>HYPERLINK("https://eping.wto.org/en/Search?viewData= G/TBT/N/BDI/229/Add.2, G/TBT/N/KEN/1238/Add.2, G/TBT/N/RWA/655/Add.2, G/TBT/N/TZA/730/Add.2, G/TBT/N/UGA/1562/Add.2"," G/TBT/N/BDI/229/Add.2, G/TBT/N/KEN/1238/Add.2, G/TBT/N/RWA/655/Add.2, G/TBT/N/TZA/730/Add.2, G/TBT/N/UGA/1562/Add.2")</f>
      </c>
      <c r="D1254" s="8" t="s">
        <v>4204</v>
      </c>
      <c r="E1254" s="8" t="s">
        <v>4205</v>
      </c>
      <c r="F1254" s="8" t="s">
        <v>4197</v>
      </c>
      <c r="G1254" s="8" t="s">
        <v>22</v>
      </c>
      <c r="H1254" s="8" t="s">
        <v>2602</v>
      </c>
      <c r="I1254" s="8" t="s">
        <v>4198</v>
      </c>
      <c r="J1254" s="8" t="s">
        <v>812</v>
      </c>
      <c r="K1254" s="6"/>
      <c r="L1254" s="7" t="s">
        <v>22</v>
      </c>
      <c r="M1254" s="6" t="s">
        <v>40</v>
      </c>
      <c r="N1254" s="6"/>
      <c r="O1254" s="6">
        <f>HYPERLINK("https://docs.wto.org/imrd/directdoc.asp?DDFDocuments/t/G/TBTN22/BDI229A2.DOCX", "https://docs.wto.org/imrd/directdoc.asp?DDFDocuments/t/G/TBTN22/BDI229A2.DOCX")</f>
      </c>
      <c r="P1254" s="6">
        <f>HYPERLINK("https://docs.wto.org/imrd/directdoc.asp?DDFDocuments/u/G/TBTN22/BDI229A2.DOCX", "https://docs.wto.org/imrd/directdoc.asp?DDFDocuments/u/G/TBTN22/BDI229A2.DOCX")</f>
      </c>
      <c r="Q1254" s="6">
        <f>HYPERLINK("https://docs.wto.org/imrd/directdoc.asp?DDFDocuments/v/G/TBTN22/BDI229A2.DOCX", "https://docs.wto.org/imrd/directdoc.asp?DDFDocuments/v/G/TBTN22/BDI229A2.DOCX")</f>
      </c>
    </row>
    <row r="1255">
      <c r="A1255" s="6" t="s">
        <v>49</v>
      </c>
      <c r="B1255" s="7">
        <v>45587</v>
      </c>
      <c r="C1255" s="9">
        <f>HYPERLINK("https://eping.wto.org/en/Search?viewData= G/TBT/N/BDI/229/Add.2, G/TBT/N/KEN/1238/Add.2, G/TBT/N/RWA/655/Add.2, G/TBT/N/TZA/730/Add.2, G/TBT/N/UGA/1562/Add.2"," G/TBT/N/BDI/229/Add.2, G/TBT/N/KEN/1238/Add.2, G/TBT/N/RWA/655/Add.2, G/TBT/N/TZA/730/Add.2, G/TBT/N/UGA/1562/Add.2")</f>
      </c>
      <c r="D1255" s="8" t="s">
        <v>4204</v>
      </c>
      <c r="E1255" s="8" t="s">
        <v>4205</v>
      </c>
      <c r="F1255" s="8" t="s">
        <v>4197</v>
      </c>
      <c r="G1255" s="8" t="s">
        <v>22</v>
      </c>
      <c r="H1255" s="8" t="s">
        <v>2602</v>
      </c>
      <c r="I1255" s="8" t="s">
        <v>4198</v>
      </c>
      <c r="J1255" s="8" t="s">
        <v>812</v>
      </c>
      <c r="K1255" s="6"/>
      <c r="L1255" s="7" t="s">
        <v>22</v>
      </c>
      <c r="M1255" s="6" t="s">
        <v>40</v>
      </c>
      <c r="N1255" s="6"/>
      <c r="O1255" s="6">
        <f>HYPERLINK("https://docs.wto.org/imrd/directdoc.asp?DDFDocuments/t/G/TBTN22/BDI229A2.DOCX", "https://docs.wto.org/imrd/directdoc.asp?DDFDocuments/t/G/TBTN22/BDI229A2.DOCX")</f>
      </c>
      <c r="P1255" s="6">
        <f>HYPERLINK("https://docs.wto.org/imrd/directdoc.asp?DDFDocuments/u/G/TBTN22/BDI229A2.DOCX", "https://docs.wto.org/imrd/directdoc.asp?DDFDocuments/u/G/TBTN22/BDI229A2.DOCX")</f>
      </c>
      <c r="Q1255" s="6">
        <f>HYPERLINK("https://docs.wto.org/imrd/directdoc.asp?DDFDocuments/v/G/TBTN22/BDI229A2.DOCX", "https://docs.wto.org/imrd/directdoc.asp?DDFDocuments/v/G/TBTN22/BDI229A2.DOCX")</f>
      </c>
    </row>
    <row r="1256">
      <c r="A1256" s="6" t="s">
        <v>60</v>
      </c>
      <c r="B1256" s="7">
        <v>45587</v>
      </c>
      <c r="C1256" s="9">
        <f>HYPERLINK("https://eping.wto.org/en/Search?viewData= G/TBT/N/BDI/311/Add.2, G/TBT/N/KEN/1357/Add.2, G/TBT/N/RWA/752/Add.2, G/TBT/N/TZA/875/Add.2, G/TBT/N/UGA/1722/Add.2"," G/TBT/N/BDI/311/Add.2, G/TBT/N/KEN/1357/Add.2, G/TBT/N/RWA/752/Add.2, G/TBT/N/TZA/875/Add.2, G/TBT/N/UGA/1722/Add.2")</f>
      </c>
      <c r="D1256" s="8" t="s">
        <v>2075</v>
      </c>
      <c r="E1256" s="8" t="s">
        <v>4180</v>
      </c>
      <c r="F1256" s="8" t="s">
        <v>2077</v>
      </c>
      <c r="G1256" s="8" t="s">
        <v>2078</v>
      </c>
      <c r="H1256" s="8" t="s">
        <v>79</v>
      </c>
      <c r="I1256" s="8" t="s">
        <v>4109</v>
      </c>
      <c r="J1256" s="8" t="s">
        <v>812</v>
      </c>
      <c r="K1256" s="6"/>
      <c r="L1256" s="7" t="s">
        <v>22</v>
      </c>
      <c r="M1256" s="6" t="s">
        <v>40</v>
      </c>
      <c r="N1256" s="6"/>
      <c r="O1256" s="6">
        <f>HYPERLINK("https://docs.wto.org/imrd/directdoc.asp?DDFDocuments/t/G/TBTN22/BDI311A2.DOCX", "https://docs.wto.org/imrd/directdoc.asp?DDFDocuments/t/G/TBTN22/BDI311A2.DOCX")</f>
      </c>
      <c r="P1256" s="6">
        <f>HYPERLINK("https://docs.wto.org/imrd/directdoc.asp?DDFDocuments/u/G/TBTN22/BDI311A2.DOCX", "https://docs.wto.org/imrd/directdoc.asp?DDFDocuments/u/G/TBTN22/BDI311A2.DOCX")</f>
      </c>
      <c r="Q1256" s="6">
        <f>HYPERLINK("https://docs.wto.org/imrd/directdoc.asp?DDFDocuments/v/G/TBTN22/BDI311A2.DOCX", "https://docs.wto.org/imrd/directdoc.asp?DDFDocuments/v/G/TBTN22/BDI311A2.DOCX")</f>
      </c>
    </row>
    <row r="1257">
      <c r="A1257" s="6" t="s">
        <v>847</v>
      </c>
      <c r="B1257" s="7">
        <v>45587</v>
      </c>
      <c r="C1257" s="9">
        <f>HYPERLINK("https://eping.wto.org/en/Search?viewData= G/TBT/N/UKR/309"," G/TBT/N/UKR/309")</f>
      </c>
      <c r="D1257" s="8" t="s">
        <v>1167</v>
      </c>
      <c r="E1257" s="8" t="s">
        <v>4273</v>
      </c>
      <c r="F1257" s="8" t="s">
        <v>758</v>
      </c>
      <c r="G1257" s="8" t="s">
        <v>22</v>
      </c>
      <c r="H1257" s="8" t="s">
        <v>22</v>
      </c>
      <c r="I1257" s="8" t="s">
        <v>39</v>
      </c>
      <c r="J1257" s="8" t="s">
        <v>139</v>
      </c>
      <c r="K1257" s="6"/>
      <c r="L1257" s="7">
        <v>45647</v>
      </c>
      <c r="M1257" s="6" t="s">
        <v>32</v>
      </c>
      <c r="N1257" s="8" t="s">
        <v>4274</v>
      </c>
      <c r="O1257" s="6">
        <f>HYPERLINK("https://docs.wto.org/imrd/directdoc.asp?DDFDocuments/t/G/TBTN24/UKR309.DOCX", "https://docs.wto.org/imrd/directdoc.asp?DDFDocuments/t/G/TBTN24/UKR309.DOCX")</f>
      </c>
      <c r="P1257" s="6">
        <f>HYPERLINK("https://docs.wto.org/imrd/directdoc.asp?DDFDocuments/u/G/TBTN24/UKR309.DOCX", "https://docs.wto.org/imrd/directdoc.asp?DDFDocuments/u/G/TBTN24/UKR309.DOCX")</f>
      </c>
      <c r="Q1257" s="6">
        <f>HYPERLINK("https://docs.wto.org/imrd/directdoc.asp?DDFDocuments/v/G/TBTN24/UKR309.DOCX", "https://docs.wto.org/imrd/directdoc.asp?DDFDocuments/v/G/TBTN24/UKR309.DOCX")</f>
      </c>
    </row>
    <row r="1258">
      <c r="A1258" s="6" t="s">
        <v>513</v>
      </c>
      <c r="B1258" s="7">
        <v>45587</v>
      </c>
      <c r="C1258" s="9">
        <f>HYPERLINK("https://eping.wto.org/en/Search?viewData= G/SPS/N/IND/315"," G/SPS/N/IND/315")</f>
      </c>
      <c r="D1258" s="8" t="s">
        <v>4275</v>
      </c>
      <c r="E1258" s="8" t="s">
        <v>4276</v>
      </c>
      <c r="F1258" s="8" t="s">
        <v>149</v>
      </c>
      <c r="G1258" s="8" t="s">
        <v>22</v>
      </c>
      <c r="H1258" s="8" t="s">
        <v>22</v>
      </c>
      <c r="I1258" s="8" t="s">
        <v>120</v>
      </c>
      <c r="J1258" s="8" t="s">
        <v>416</v>
      </c>
      <c r="K1258" s="6" t="s">
        <v>22</v>
      </c>
      <c r="L1258" s="7">
        <v>45647</v>
      </c>
      <c r="M1258" s="6" t="s">
        <v>32</v>
      </c>
      <c r="N1258" s="8" t="s">
        <v>4277</v>
      </c>
      <c r="O1258" s="6">
        <f>HYPERLINK("https://docs.wto.org/imrd/directdoc.asp?DDFDocuments/t/G/SPS/NIND315.DOCX", "https://docs.wto.org/imrd/directdoc.asp?DDFDocuments/t/G/SPS/NIND315.DOCX")</f>
      </c>
      <c r="P1258" s="6">
        <f>HYPERLINK("https://docs.wto.org/imrd/directdoc.asp?DDFDocuments/u/G/SPS/NIND315.DOCX", "https://docs.wto.org/imrd/directdoc.asp?DDFDocuments/u/G/SPS/NIND315.DOCX")</f>
      </c>
      <c r="Q1258" s="6">
        <f>HYPERLINK("https://docs.wto.org/imrd/directdoc.asp?DDFDocuments/v/G/SPS/NIND315.DOCX", "https://docs.wto.org/imrd/directdoc.asp?DDFDocuments/v/G/SPS/NIND315.DOCX")</f>
      </c>
    </row>
    <row r="1259">
      <c r="A1259" s="6" t="s">
        <v>68</v>
      </c>
      <c r="B1259" s="7">
        <v>45587</v>
      </c>
      <c r="C1259" s="9">
        <f>HYPERLINK("https://eping.wto.org/en/Search?viewData= G/TBT/N/BDI/268/Add.2, G/TBT/N/KEN/1297/Add.2, G/TBT/N/RWA/703/Add.2, G/TBT/N/TZA/822/Add.2, G/TBT/N/UGA/1677/Add.2"," G/TBT/N/BDI/268/Add.2, G/TBT/N/KEN/1297/Add.2, G/TBT/N/RWA/703/Add.2, G/TBT/N/TZA/822/Add.2, G/TBT/N/UGA/1677/Add.2")</f>
      </c>
      <c r="D1259" s="8" t="s">
        <v>4193</v>
      </c>
      <c r="E1259" s="8" t="s">
        <v>4194</v>
      </c>
      <c r="F1259" s="8" t="s">
        <v>4168</v>
      </c>
      <c r="G1259" s="8" t="s">
        <v>4169</v>
      </c>
      <c r="H1259" s="8" t="s">
        <v>4170</v>
      </c>
      <c r="I1259" s="8" t="s">
        <v>1067</v>
      </c>
      <c r="J1259" s="8" t="s">
        <v>81</v>
      </c>
      <c r="K1259" s="6"/>
      <c r="L1259" s="7" t="s">
        <v>22</v>
      </c>
      <c r="M1259" s="6" t="s">
        <v>40</v>
      </c>
      <c r="N1259" s="6"/>
      <c r="O1259" s="6">
        <f>HYPERLINK("https://docs.wto.org/imrd/directdoc.asp?DDFDocuments/t/G/TBTN22/BDI268A2.DOCX", "https://docs.wto.org/imrd/directdoc.asp?DDFDocuments/t/G/TBTN22/BDI268A2.DOCX")</f>
      </c>
      <c r="P1259" s="6">
        <f>HYPERLINK("https://docs.wto.org/imrd/directdoc.asp?DDFDocuments/u/G/TBTN22/BDI268A2.DOCX", "https://docs.wto.org/imrd/directdoc.asp?DDFDocuments/u/G/TBTN22/BDI268A2.DOCX")</f>
      </c>
      <c r="Q1259" s="6">
        <f>HYPERLINK("https://docs.wto.org/imrd/directdoc.asp?DDFDocuments/v/G/TBTN22/BDI268A2.DOCX", "https://docs.wto.org/imrd/directdoc.asp?DDFDocuments/v/G/TBTN22/BDI268A2.DOCX")</f>
      </c>
    </row>
    <row r="1260">
      <c r="A1260" s="6" t="s">
        <v>68</v>
      </c>
      <c r="B1260" s="7">
        <v>45587</v>
      </c>
      <c r="C1260" s="9">
        <f>HYPERLINK("https://eping.wto.org/en/Search?viewData= G/TBT/N/BDI/309/Add.1, G/TBT/N/KEN/1355/Add.1, G/TBT/N/RWA/750/Add.1, G/TBT/N/TZA/873/Add.1, G/TBT/N/UGA/1720/Add.1"," G/TBT/N/BDI/309/Add.1, G/TBT/N/KEN/1355/Add.1, G/TBT/N/RWA/750/Add.1, G/TBT/N/TZA/873/Add.1, G/TBT/N/UGA/1720/Add.1")</f>
      </c>
      <c r="D1260" s="8" t="s">
        <v>4218</v>
      </c>
      <c r="E1260" s="8" t="s">
        <v>4219</v>
      </c>
      <c r="F1260" s="8" t="s">
        <v>2081</v>
      </c>
      <c r="G1260" s="8" t="s">
        <v>2082</v>
      </c>
      <c r="H1260" s="8" t="s">
        <v>79</v>
      </c>
      <c r="I1260" s="8" t="s">
        <v>1805</v>
      </c>
      <c r="J1260" s="8" t="s">
        <v>81</v>
      </c>
      <c r="K1260" s="6"/>
      <c r="L1260" s="7" t="s">
        <v>22</v>
      </c>
      <c r="M1260" s="6" t="s">
        <v>40</v>
      </c>
      <c r="N1260" s="6"/>
      <c r="O1260" s="6">
        <f>HYPERLINK("https://docs.wto.org/imrd/directdoc.asp?DDFDocuments/t/G/TBTN22/BDI309A1.DOCX", "https://docs.wto.org/imrd/directdoc.asp?DDFDocuments/t/G/TBTN22/BDI309A1.DOCX")</f>
      </c>
      <c r="P1260" s="6">
        <f>HYPERLINK("https://docs.wto.org/imrd/directdoc.asp?DDFDocuments/u/G/TBTN22/BDI309A1.DOCX", "https://docs.wto.org/imrd/directdoc.asp?DDFDocuments/u/G/TBTN22/BDI309A1.DOCX")</f>
      </c>
      <c r="Q1260" s="6">
        <f>HYPERLINK("https://docs.wto.org/imrd/directdoc.asp?DDFDocuments/v/G/TBTN22/BDI309A1.DOCX", "https://docs.wto.org/imrd/directdoc.asp?DDFDocuments/v/G/TBTN22/BDI309A1.DOCX")</f>
      </c>
    </row>
    <row r="1261">
      <c r="A1261" s="6" t="s">
        <v>68</v>
      </c>
      <c r="B1261" s="7">
        <v>45587</v>
      </c>
      <c r="C1261" s="9">
        <f>HYPERLINK("https://eping.wto.org/en/Search?viewData= G/TBT/N/BDI/266/Add.2, G/TBT/N/KEN/1295/Add.2, G/TBT/N/RWA/701/Add.2, G/TBT/N/TZA/820/Add.2, G/TBT/N/UGA/1675/Add.2"," G/TBT/N/BDI/266/Add.2, G/TBT/N/KEN/1295/Add.2, G/TBT/N/RWA/701/Add.2, G/TBT/N/TZA/820/Add.2, G/TBT/N/UGA/1675/Add.2")</f>
      </c>
      <c r="D1261" s="8" t="s">
        <v>4259</v>
      </c>
      <c r="E1261" s="8" t="s">
        <v>4260</v>
      </c>
      <c r="F1261" s="8" t="s">
        <v>4261</v>
      </c>
      <c r="G1261" s="8" t="s">
        <v>4169</v>
      </c>
      <c r="H1261" s="8" t="s">
        <v>4170</v>
      </c>
      <c r="I1261" s="8" t="s">
        <v>1067</v>
      </c>
      <c r="J1261" s="8" t="s">
        <v>81</v>
      </c>
      <c r="K1261" s="6"/>
      <c r="L1261" s="7" t="s">
        <v>22</v>
      </c>
      <c r="M1261" s="6" t="s">
        <v>40</v>
      </c>
      <c r="N1261" s="6"/>
      <c r="O1261" s="6">
        <f>HYPERLINK("https://docs.wto.org/imrd/directdoc.asp?DDFDocuments/t/G/TBTN22/BDI266A2.DOCX", "https://docs.wto.org/imrd/directdoc.asp?DDFDocuments/t/G/TBTN22/BDI266A2.DOCX")</f>
      </c>
      <c r="P1261" s="6">
        <f>HYPERLINK("https://docs.wto.org/imrd/directdoc.asp?DDFDocuments/u/G/TBTN22/BDI266A2.DOCX", "https://docs.wto.org/imrd/directdoc.asp?DDFDocuments/u/G/TBTN22/BDI266A2.DOCX")</f>
      </c>
      <c r="Q1261" s="6">
        <f>HYPERLINK("https://docs.wto.org/imrd/directdoc.asp?DDFDocuments/v/G/TBTN22/BDI266A2.DOCX", "https://docs.wto.org/imrd/directdoc.asp?DDFDocuments/v/G/TBTN22/BDI266A2.DOCX")</f>
      </c>
    </row>
    <row r="1262">
      <c r="A1262" s="6" t="s">
        <v>26</v>
      </c>
      <c r="B1262" s="7">
        <v>45587</v>
      </c>
      <c r="C1262" s="9">
        <f>HYPERLINK("https://eping.wto.org/en/Search?viewData= G/TBT/N/BDI/273/Add.2, G/TBT/N/KEN/1301/Add.2, G/TBT/N/RWA/707/Add.2, G/TBT/N/TZA/826/Add.2, G/TBT/N/UGA/1681/Add.2"," G/TBT/N/BDI/273/Add.2, G/TBT/N/KEN/1301/Add.2, G/TBT/N/RWA/707/Add.2, G/TBT/N/TZA/826/Add.2, G/TBT/N/UGA/1681/Add.2")</f>
      </c>
      <c r="D1262" s="8" t="s">
        <v>4223</v>
      </c>
      <c r="E1262" s="8" t="s">
        <v>4224</v>
      </c>
      <c r="F1262" s="8" t="s">
        <v>4225</v>
      </c>
      <c r="G1262" s="8" t="s">
        <v>21</v>
      </c>
      <c r="H1262" s="8" t="s">
        <v>2073</v>
      </c>
      <c r="I1262" s="8" t="s">
        <v>4226</v>
      </c>
      <c r="J1262" s="8" t="s">
        <v>761</v>
      </c>
      <c r="K1262" s="6"/>
      <c r="L1262" s="7" t="s">
        <v>22</v>
      </c>
      <c r="M1262" s="6" t="s">
        <v>40</v>
      </c>
      <c r="N1262" s="6"/>
      <c r="O1262" s="6">
        <f>HYPERLINK("https://docs.wto.org/imrd/directdoc.asp?DDFDocuments/t/G/TBTN22/BDI273A2.DOCX", "https://docs.wto.org/imrd/directdoc.asp?DDFDocuments/t/G/TBTN22/BDI273A2.DOCX")</f>
      </c>
      <c r="P1262" s="6">
        <f>HYPERLINK("https://docs.wto.org/imrd/directdoc.asp?DDFDocuments/u/G/TBTN22/BDI273A2.DOCX", "https://docs.wto.org/imrd/directdoc.asp?DDFDocuments/u/G/TBTN22/BDI273A2.DOCX")</f>
      </c>
      <c r="Q1262" s="6">
        <f>HYPERLINK("https://docs.wto.org/imrd/directdoc.asp?DDFDocuments/v/G/TBTN22/BDI273A2.DOCX", "https://docs.wto.org/imrd/directdoc.asp?DDFDocuments/v/G/TBTN22/BDI273A2.DOCX")</f>
      </c>
    </row>
    <row r="1263">
      <c r="A1263" s="6" t="s">
        <v>60</v>
      </c>
      <c r="B1263" s="7">
        <v>45587</v>
      </c>
      <c r="C1263" s="9">
        <f>HYPERLINK("https://eping.wto.org/en/Search?viewData= G/TBT/N/BDI/247/Add.2, G/TBT/N/KEN/1266/Add.2, G/TBT/N/RWA/677/Add.2, G/TBT/N/TZA/787/Add.2, G/TBT/N/UGA/1601/Add.2"," G/TBT/N/BDI/247/Add.2, G/TBT/N/KEN/1266/Add.2, G/TBT/N/RWA/677/Add.2, G/TBT/N/TZA/787/Add.2, G/TBT/N/UGA/1601/Add.2")</f>
      </c>
      <c r="D1263" s="8" t="s">
        <v>4160</v>
      </c>
      <c r="E1263" s="8" t="s">
        <v>4161</v>
      </c>
      <c r="F1263" s="8" t="s">
        <v>4162</v>
      </c>
      <c r="G1263" s="8" t="s">
        <v>4163</v>
      </c>
      <c r="H1263" s="8" t="s">
        <v>4164</v>
      </c>
      <c r="I1263" s="8" t="s">
        <v>4165</v>
      </c>
      <c r="J1263" s="8" t="s">
        <v>812</v>
      </c>
      <c r="K1263" s="6"/>
      <c r="L1263" s="7" t="s">
        <v>22</v>
      </c>
      <c r="M1263" s="6" t="s">
        <v>40</v>
      </c>
      <c r="N1263" s="6"/>
      <c r="O1263" s="6">
        <f>HYPERLINK("https://docs.wto.org/imrd/directdoc.asp?DDFDocuments/t/G/TBTN22/BDI247A2.DOCX", "https://docs.wto.org/imrd/directdoc.asp?DDFDocuments/t/G/TBTN22/BDI247A2.DOCX")</f>
      </c>
      <c r="P1263" s="6">
        <f>HYPERLINK("https://docs.wto.org/imrd/directdoc.asp?DDFDocuments/u/G/TBTN22/BDI247A2.DOCX", "https://docs.wto.org/imrd/directdoc.asp?DDFDocuments/u/G/TBTN22/BDI247A2.DOCX")</f>
      </c>
      <c r="Q1263" s="6">
        <f>HYPERLINK("https://docs.wto.org/imrd/directdoc.asp?DDFDocuments/v/G/TBTN22/BDI247A2.DOCX", "https://docs.wto.org/imrd/directdoc.asp?DDFDocuments/v/G/TBTN22/BDI247A2.DOCX")</f>
      </c>
    </row>
    <row r="1264">
      <c r="A1264" s="6" t="s">
        <v>60</v>
      </c>
      <c r="B1264" s="7">
        <v>45587</v>
      </c>
      <c r="C1264" s="9">
        <f>HYPERLINK("https://eping.wto.org/en/Search?viewData= G/TBT/N/BDI/266/Add.2, G/TBT/N/KEN/1295/Add.2, G/TBT/N/RWA/701/Add.2, G/TBT/N/TZA/820/Add.2, G/TBT/N/UGA/1675/Add.2"," G/TBT/N/BDI/266/Add.2, G/TBT/N/KEN/1295/Add.2, G/TBT/N/RWA/701/Add.2, G/TBT/N/TZA/820/Add.2, G/TBT/N/UGA/1675/Add.2")</f>
      </c>
      <c r="D1264" s="8" t="s">
        <v>4259</v>
      </c>
      <c r="E1264" s="8" t="s">
        <v>4260</v>
      </c>
      <c r="F1264" s="8" t="s">
        <v>4261</v>
      </c>
      <c r="G1264" s="8" t="s">
        <v>4169</v>
      </c>
      <c r="H1264" s="8" t="s">
        <v>4170</v>
      </c>
      <c r="I1264" s="8" t="s">
        <v>4165</v>
      </c>
      <c r="J1264" s="8" t="s">
        <v>812</v>
      </c>
      <c r="K1264" s="6"/>
      <c r="L1264" s="7" t="s">
        <v>22</v>
      </c>
      <c r="M1264" s="6" t="s">
        <v>40</v>
      </c>
      <c r="N1264" s="6"/>
      <c r="O1264" s="6">
        <f>HYPERLINK("https://docs.wto.org/imrd/directdoc.asp?DDFDocuments/t/G/TBTN22/BDI266A2.DOCX", "https://docs.wto.org/imrd/directdoc.asp?DDFDocuments/t/G/TBTN22/BDI266A2.DOCX")</f>
      </c>
      <c r="P1264" s="6">
        <f>HYPERLINK("https://docs.wto.org/imrd/directdoc.asp?DDFDocuments/u/G/TBTN22/BDI266A2.DOCX", "https://docs.wto.org/imrd/directdoc.asp?DDFDocuments/u/G/TBTN22/BDI266A2.DOCX")</f>
      </c>
      <c r="Q1264" s="6">
        <f>HYPERLINK("https://docs.wto.org/imrd/directdoc.asp?DDFDocuments/v/G/TBTN22/BDI266A2.DOCX", "https://docs.wto.org/imrd/directdoc.asp?DDFDocuments/v/G/TBTN22/BDI266A2.DOCX")</f>
      </c>
    </row>
    <row r="1265">
      <c r="A1265" s="6" t="s">
        <v>53</v>
      </c>
      <c r="B1265" s="7">
        <v>45587</v>
      </c>
      <c r="C1265" s="9">
        <f>HYPERLINK("https://eping.wto.org/en/Search?viewData= G/TBT/N/BDI/266/Add.2, G/TBT/N/KEN/1295/Add.2, G/TBT/N/RWA/701/Add.2, G/TBT/N/TZA/820/Add.2, G/TBT/N/UGA/1675/Add.2"," G/TBT/N/BDI/266/Add.2, G/TBT/N/KEN/1295/Add.2, G/TBT/N/RWA/701/Add.2, G/TBT/N/TZA/820/Add.2, G/TBT/N/UGA/1675/Add.2")</f>
      </c>
      <c r="D1265" s="8" t="s">
        <v>4259</v>
      </c>
      <c r="E1265" s="8" t="s">
        <v>4260</v>
      </c>
      <c r="F1265" s="8" t="s">
        <v>4261</v>
      </c>
      <c r="G1265" s="8" t="s">
        <v>4169</v>
      </c>
      <c r="H1265" s="8" t="s">
        <v>4170</v>
      </c>
      <c r="I1265" s="8" t="s">
        <v>4165</v>
      </c>
      <c r="J1265" s="8" t="s">
        <v>812</v>
      </c>
      <c r="K1265" s="6"/>
      <c r="L1265" s="7" t="s">
        <v>22</v>
      </c>
      <c r="M1265" s="6" t="s">
        <v>40</v>
      </c>
      <c r="N1265" s="6"/>
      <c r="O1265" s="6">
        <f>HYPERLINK("https://docs.wto.org/imrd/directdoc.asp?DDFDocuments/t/G/TBTN22/BDI266A2.DOCX", "https://docs.wto.org/imrd/directdoc.asp?DDFDocuments/t/G/TBTN22/BDI266A2.DOCX")</f>
      </c>
      <c r="P1265" s="6">
        <f>HYPERLINK("https://docs.wto.org/imrd/directdoc.asp?DDFDocuments/u/G/TBTN22/BDI266A2.DOCX", "https://docs.wto.org/imrd/directdoc.asp?DDFDocuments/u/G/TBTN22/BDI266A2.DOCX")</f>
      </c>
      <c r="Q1265" s="6">
        <f>HYPERLINK("https://docs.wto.org/imrd/directdoc.asp?DDFDocuments/v/G/TBTN22/BDI266A2.DOCX", "https://docs.wto.org/imrd/directdoc.asp?DDFDocuments/v/G/TBTN22/BDI266A2.DOCX")</f>
      </c>
    </row>
    <row r="1266">
      <c r="A1266" s="6" t="s">
        <v>26</v>
      </c>
      <c r="B1266" s="7">
        <v>45587</v>
      </c>
      <c r="C1266" s="9">
        <f>HYPERLINK("https://eping.wto.org/en/Search?viewData= G/TBT/N/BDI/266/Add.2, G/TBT/N/KEN/1295/Add.2, G/TBT/N/RWA/701/Add.2, G/TBT/N/TZA/820/Add.2, G/TBT/N/UGA/1675/Add.2"," G/TBT/N/BDI/266/Add.2, G/TBT/N/KEN/1295/Add.2, G/TBT/N/RWA/701/Add.2, G/TBT/N/TZA/820/Add.2, G/TBT/N/UGA/1675/Add.2")</f>
      </c>
      <c r="D1266" s="8" t="s">
        <v>4259</v>
      </c>
      <c r="E1266" s="8" t="s">
        <v>4260</v>
      </c>
      <c r="F1266" s="8" t="s">
        <v>4261</v>
      </c>
      <c r="G1266" s="8" t="s">
        <v>4169</v>
      </c>
      <c r="H1266" s="8" t="s">
        <v>4170</v>
      </c>
      <c r="I1266" s="8" t="s">
        <v>4165</v>
      </c>
      <c r="J1266" s="8" t="s">
        <v>812</v>
      </c>
      <c r="K1266" s="6"/>
      <c r="L1266" s="7" t="s">
        <v>22</v>
      </c>
      <c r="M1266" s="6" t="s">
        <v>40</v>
      </c>
      <c r="N1266" s="6"/>
      <c r="O1266" s="6">
        <f>HYPERLINK("https://docs.wto.org/imrd/directdoc.asp?DDFDocuments/t/G/TBTN22/BDI266A2.DOCX", "https://docs.wto.org/imrd/directdoc.asp?DDFDocuments/t/G/TBTN22/BDI266A2.DOCX")</f>
      </c>
      <c r="P1266" s="6">
        <f>HYPERLINK("https://docs.wto.org/imrd/directdoc.asp?DDFDocuments/u/G/TBTN22/BDI266A2.DOCX", "https://docs.wto.org/imrd/directdoc.asp?DDFDocuments/u/G/TBTN22/BDI266A2.DOCX")</f>
      </c>
      <c r="Q1266" s="6">
        <f>HYPERLINK("https://docs.wto.org/imrd/directdoc.asp?DDFDocuments/v/G/TBTN22/BDI266A2.DOCX", "https://docs.wto.org/imrd/directdoc.asp?DDFDocuments/v/G/TBTN22/BDI266A2.DOCX")</f>
      </c>
    </row>
    <row r="1267">
      <c r="A1267" s="6" t="s">
        <v>49</v>
      </c>
      <c r="B1267" s="7">
        <v>45587</v>
      </c>
      <c r="C1267" s="9">
        <f>HYPERLINK("https://eping.wto.org/en/Search?viewData= G/TBT/N/BDI/268/Add.2, G/TBT/N/KEN/1297/Add.2, G/TBT/N/RWA/703/Add.2, G/TBT/N/TZA/822/Add.2, G/TBT/N/UGA/1677/Add.2"," G/TBT/N/BDI/268/Add.2, G/TBT/N/KEN/1297/Add.2, G/TBT/N/RWA/703/Add.2, G/TBT/N/TZA/822/Add.2, G/TBT/N/UGA/1677/Add.2")</f>
      </c>
      <c r="D1267" s="8" t="s">
        <v>4193</v>
      </c>
      <c r="E1267" s="8" t="s">
        <v>4194</v>
      </c>
      <c r="F1267" s="8" t="s">
        <v>4168</v>
      </c>
      <c r="G1267" s="8" t="s">
        <v>4169</v>
      </c>
      <c r="H1267" s="8" t="s">
        <v>4170</v>
      </c>
      <c r="I1267" s="8" t="s">
        <v>4165</v>
      </c>
      <c r="J1267" s="8" t="s">
        <v>812</v>
      </c>
      <c r="K1267" s="6"/>
      <c r="L1267" s="7" t="s">
        <v>22</v>
      </c>
      <c r="M1267" s="6" t="s">
        <v>40</v>
      </c>
      <c r="N1267" s="6"/>
      <c r="O1267" s="6">
        <f>HYPERLINK("https://docs.wto.org/imrd/directdoc.asp?DDFDocuments/t/G/TBTN22/BDI268A2.DOCX", "https://docs.wto.org/imrd/directdoc.asp?DDFDocuments/t/G/TBTN22/BDI268A2.DOCX")</f>
      </c>
      <c r="P1267" s="6">
        <f>HYPERLINK("https://docs.wto.org/imrd/directdoc.asp?DDFDocuments/u/G/TBTN22/BDI268A2.DOCX", "https://docs.wto.org/imrd/directdoc.asp?DDFDocuments/u/G/TBTN22/BDI268A2.DOCX")</f>
      </c>
      <c r="Q1267" s="6">
        <f>HYPERLINK("https://docs.wto.org/imrd/directdoc.asp?DDFDocuments/v/G/TBTN22/BDI268A2.DOCX", "https://docs.wto.org/imrd/directdoc.asp?DDFDocuments/v/G/TBTN22/BDI268A2.DOCX")</f>
      </c>
    </row>
    <row r="1268">
      <c r="A1268" s="6" t="s">
        <v>53</v>
      </c>
      <c r="B1268" s="7">
        <v>45587</v>
      </c>
      <c r="C1268" s="9">
        <f>HYPERLINK("https://eping.wto.org/en/Search?viewData= G/TBT/N/BDI/230/Add.2, G/TBT/N/KEN/1239/Add.2, G/TBT/N/RWA/656/Add.2, G/TBT/N/TZA/731/Add.2, G/TBT/N/UGA/1563/Add.2"," G/TBT/N/BDI/230/Add.2, G/TBT/N/KEN/1239/Add.2, G/TBT/N/RWA/656/Add.2, G/TBT/N/TZA/731/Add.2, G/TBT/N/UGA/1563/Add.2")</f>
      </c>
      <c r="D1268" s="8" t="s">
        <v>4195</v>
      </c>
      <c r="E1268" s="8" t="s">
        <v>4196</v>
      </c>
      <c r="F1268" s="8" t="s">
        <v>4197</v>
      </c>
      <c r="G1268" s="8" t="s">
        <v>22</v>
      </c>
      <c r="H1268" s="8" t="s">
        <v>2602</v>
      </c>
      <c r="I1268" s="8" t="s">
        <v>4198</v>
      </c>
      <c r="J1268" s="8" t="s">
        <v>4199</v>
      </c>
      <c r="K1268" s="6"/>
      <c r="L1268" s="7" t="s">
        <v>22</v>
      </c>
      <c r="M1268" s="6" t="s">
        <v>40</v>
      </c>
      <c r="N1268" s="6"/>
      <c r="O1268" s="6">
        <f>HYPERLINK("https://docs.wto.org/imrd/directdoc.asp?DDFDocuments/t/G/TBTN22/BDI230A2.DOCX", "https://docs.wto.org/imrd/directdoc.asp?DDFDocuments/t/G/TBTN22/BDI230A2.DOCX")</f>
      </c>
      <c r="P1268" s="6">
        <f>HYPERLINK("https://docs.wto.org/imrd/directdoc.asp?DDFDocuments/u/G/TBTN22/BDI230A2.DOCX", "https://docs.wto.org/imrd/directdoc.asp?DDFDocuments/u/G/TBTN22/BDI230A2.DOCX")</f>
      </c>
      <c r="Q1268" s="6">
        <f>HYPERLINK("https://docs.wto.org/imrd/directdoc.asp?DDFDocuments/v/G/TBTN22/BDI230A2.DOCX", "https://docs.wto.org/imrd/directdoc.asp?DDFDocuments/v/G/TBTN22/BDI230A2.DOCX")</f>
      </c>
    </row>
    <row r="1269">
      <c r="A1269" s="6" t="s">
        <v>53</v>
      </c>
      <c r="B1269" s="7">
        <v>45587</v>
      </c>
      <c r="C1269" s="9">
        <f>HYPERLINK("https://eping.wto.org/en/Search?viewData= G/TBT/N/BDI/310/Add.1, G/TBT/N/KEN/1356/Add.1, G/TBT/N/RWA/751/Add.1, G/TBT/N/TZA/874/Add.1, G/TBT/N/UGA/1721/Add.1"," G/TBT/N/BDI/310/Add.1, G/TBT/N/KEN/1356/Add.1, G/TBT/N/RWA/751/Add.1, G/TBT/N/TZA/874/Add.1, G/TBT/N/UGA/1721/Add.1")</f>
      </c>
      <c r="D1269" s="8" t="s">
        <v>2109</v>
      </c>
      <c r="E1269" s="8" t="s">
        <v>4203</v>
      </c>
      <c r="F1269" s="8" t="s">
        <v>2111</v>
      </c>
      <c r="G1269" s="8" t="s">
        <v>2112</v>
      </c>
      <c r="H1269" s="8" t="s">
        <v>79</v>
      </c>
      <c r="I1269" s="8" t="s">
        <v>4109</v>
      </c>
      <c r="J1269" s="8" t="s">
        <v>812</v>
      </c>
      <c r="K1269" s="6"/>
      <c r="L1269" s="7" t="s">
        <v>22</v>
      </c>
      <c r="M1269" s="6" t="s">
        <v>40</v>
      </c>
      <c r="N1269" s="6"/>
      <c r="O1269" s="6">
        <f>HYPERLINK("https://docs.wto.org/imrd/directdoc.asp?DDFDocuments/t/G/TBTN22/BDI310A1.DOCX", "https://docs.wto.org/imrd/directdoc.asp?DDFDocuments/t/G/TBTN22/BDI310A1.DOCX")</f>
      </c>
      <c r="P1269" s="6">
        <f>HYPERLINK("https://docs.wto.org/imrd/directdoc.asp?DDFDocuments/u/G/TBTN22/BDI310A1.DOCX", "https://docs.wto.org/imrd/directdoc.asp?DDFDocuments/u/G/TBTN22/BDI310A1.DOCX")</f>
      </c>
      <c r="Q1269" s="6">
        <f>HYPERLINK("https://docs.wto.org/imrd/directdoc.asp?DDFDocuments/v/G/TBTN22/BDI310A1.DOCX", "https://docs.wto.org/imrd/directdoc.asp?DDFDocuments/v/G/TBTN22/BDI310A1.DOCX")</f>
      </c>
    </row>
    <row r="1270">
      <c r="A1270" s="6" t="s">
        <v>152</v>
      </c>
      <c r="B1270" s="7">
        <v>45587</v>
      </c>
      <c r="C1270" s="9">
        <f>HYPERLINK("https://eping.wto.org/en/Search?viewData= G/SPS/N/PER/1066"," G/SPS/N/PER/1066")</f>
      </c>
      <c r="D1270" s="8" t="s">
        <v>4278</v>
      </c>
      <c r="E1270" s="8" t="s">
        <v>4279</v>
      </c>
      <c r="F1270" s="8" t="s">
        <v>4280</v>
      </c>
      <c r="G1270" s="8" t="s">
        <v>4281</v>
      </c>
      <c r="H1270" s="8" t="s">
        <v>22</v>
      </c>
      <c r="I1270" s="8" t="s">
        <v>128</v>
      </c>
      <c r="J1270" s="8" t="s">
        <v>129</v>
      </c>
      <c r="K1270" s="6" t="s">
        <v>400</v>
      </c>
      <c r="L1270" s="7">
        <v>45647</v>
      </c>
      <c r="M1270" s="6" t="s">
        <v>32</v>
      </c>
      <c r="N1270" s="8" t="s">
        <v>4282</v>
      </c>
      <c r="O1270" s="6">
        <f>HYPERLINK("https://docs.wto.org/imrd/directdoc.asp?DDFDocuments/t/G/SPS/NPER1066.DOCX", "https://docs.wto.org/imrd/directdoc.asp?DDFDocuments/t/G/SPS/NPER1066.DOCX")</f>
      </c>
      <c r="P1270" s="6">
        <f>HYPERLINK("https://docs.wto.org/imrd/directdoc.asp?DDFDocuments/u/G/SPS/NPER1066.DOCX", "https://docs.wto.org/imrd/directdoc.asp?DDFDocuments/u/G/SPS/NPER1066.DOCX")</f>
      </c>
      <c r="Q1270" s="6">
        <f>HYPERLINK("https://docs.wto.org/imrd/directdoc.asp?DDFDocuments/v/G/SPS/NPER1066.DOCX", "https://docs.wto.org/imrd/directdoc.asp?DDFDocuments/v/G/SPS/NPER1066.DOCX")</f>
      </c>
    </row>
    <row r="1271">
      <c r="A1271" s="6" t="s">
        <v>26</v>
      </c>
      <c r="B1271" s="7">
        <v>45587</v>
      </c>
      <c r="C1271" s="9">
        <f>HYPERLINK("https://eping.wto.org/en/Search?viewData= G/TBT/N/BDI/269/Add.2, G/TBT/N/KEN/1298/Add.2, G/TBT/N/RWA/704/Add.2, G/TBT/N/TZA/823/Add.2, G/TBT/N/UGA/1678/Add.2"," G/TBT/N/BDI/269/Add.2, G/TBT/N/KEN/1298/Add.2, G/TBT/N/RWA/704/Add.2, G/TBT/N/TZA/823/Add.2, G/TBT/N/UGA/1678/Add.2")</f>
      </c>
      <c r="D1271" s="8" t="s">
        <v>4201</v>
      </c>
      <c r="E1271" s="8" t="s">
        <v>4202</v>
      </c>
      <c r="F1271" s="8" t="s">
        <v>4168</v>
      </c>
      <c r="G1271" s="8" t="s">
        <v>4169</v>
      </c>
      <c r="H1271" s="8" t="s">
        <v>4170</v>
      </c>
      <c r="I1271" s="8" t="s">
        <v>4165</v>
      </c>
      <c r="J1271" s="8" t="s">
        <v>812</v>
      </c>
      <c r="K1271" s="6"/>
      <c r="L1271" s="7" t="s">
        <v>22</v>
      </c>
      <c r="M1271" s="6" t="s">
        <v>40</v>
      </c>
      <c r="N1271" s="6"/>
      <c r="O1271" s="6">
        <f>HYPERLINK("https://docs.wto.org/imrd/directdoc.asp?DDFDocuments/t/G/TBTN23/BDI269A2.DOCX", "https://docs.wto.org/imrd/directdoc.asp?DDFDocuments/t/G/TBTN23/BDI269A2.DOCX")</f>
      </c>
      <c r="P1271" s="6">
        <f>HYPERLINK("https://docs.wto.org/imrd/directdoc.asp?DDFDocuments/u/G/TBTN23/BDI269A2.DOCX", "https://docs.wto.org/imrd/directdoc.asp?DDFDocuments/u/G/TBTN23/BDI269A2.DOCX")</f>
      </c>
      <c r="Q1271" s="6">
        <f>HYPERLINK("https://docs.wto.org/imrd/directdoc.asp?DDFDocuments/v/G/TBTN23/BDI269A2.DOCX", "https://docs.wto.org/imrd/directdoc.asp?DDFDocuments/v/G/TBTN23/BDI269A2.DOCX")</f>
      </c>
    </row>
    <row r="1272">
      <c r="A1272" s="6" t="s">
        <v>26</v>
      </c>
      <c r="B1272" s="7">
        <v>45587</v>
      </c>
      <c r="C1272" s="9">
        <f>HYPERLINK("https://eping.wto.org/en/Search?viewData= G/TBT/N/BDI/311/Add.2, G/TBT/N/KEN/1357/Add.2, G/TBT/N/RWA/752/Add.2, G/TBT/N/TZA/875/Add.2, G/TBT/N/UGA/1722/Add.2"," G/TBT/N/BDI/311/Add.2, G/TBT/N/KEN/1357/Add.2, G/TBT/N/RWA/752/Add.2, G/TBT/N/TZA/875/Add.2, G/TBT/N/UGA/1722/Add.2")</f>
      </c>
      <c r="D1272" s="8" t="s">
        <v>2075</v>
      </c>
      <c r="E1272" s="8" t="s">
        <v>4180</v>
      </c>
      <c r="F1272" s="8" t="s">
        <v>2077</v>
      </c>
      <c r="G1272" s="8" t="s">
        <v>2078</v>
      </c>
      <c r="H1272" s="8" t="s">
        <v>79</v>
      </c>
      <c r="I1272" s="8" t="s">
        <v>4109</v>
      </c>
      <c r="J1272" s="8" t="s">
        <v>812</v>
      </c>
      <c r="K1272" s="6"/>
      <c r="L1272" s="7" t="s">
        <v>22</v>
      </c>
      <c r="M1272" s="6" t="s">
        <v>40</v>
      </c>
      <c r="N1272" s="6"/>
      <c r="O1272" s="6">
        <f>HYPERLINK("https://docs.wto.org/imrd/directdoc.asp?DDFDocuments/t/G/TBTN22/BDI311A2.DOCX", "https://docs.wto.org/imrd/directdoc.asp?DDFDocuments/t/G/TBTN22/BDI311A2.DOCX")</f>
      </c>
      <c r="P1272" s="6">
        <f>HYPERLINK("https://docs.wto.org/imrd/directdoc.asp?DDFDocuments/u/G/TBTN22/BDI311A2.DOCX", "https://docs.wto.org/imrd/directdoc.asp?DDFDocuments/u/G/TBTN22/BDI311A2.DOCX")</f>
      </c>
      <c r="Q1272" s="6">
        <f>HYPERLINK("https://docs.wto.org/imrd/directdoc.asp?DDFDocuments/v/G/TBTN22/BDI311A2.DOCX", "https://docs.wto.org/imrd/directdoc.asp?DDFDocuments/v/G/TBTN22/BDI311A2.DOCX")</f>
      </c>
    </row>
    <row r="1273">
      <c r="A1273" s="6" t="s">
        <v>60</v>
      </c>
      <c r="B1273" s="7">
        <v>45587</v>
      </c>
      <c r="C1273" s="9">
        <f>HYPERLINK("https://eping.wto.org/en/Search?viewData= G/TBT/N/BDI/310/Add.1, G/TBT/N/KEN/1356/Add.1, G/TBT/N/RWA/751/Add.1, G/TBT/N/TZA/874/Add.1, G/TBT/N/UGA/1721/Add.1"," G/TBT/N/BDI/310/Add.1, G/TBT/N/KEN/1356/Add.1, G/TBT/N/RWA/751/Add.1, G/TBT/N/TZA/874/Add.1, G/TBT/N/UGA/1721/Add.1")</f>
      </c>
      <c r="D1273" s="8" t="s">
        <v>2109</v>
      </c>
      <c r="E1273" s="8" t="s">
        <v>4203</v>
      </c>
      <c r="F1273" s="8" t="s">
        <v>2111</v>
      </c>
      <c r="G1273" s="8" t="s">
        <v>2112</v>
      </c>
      <c r="H1273" s="8" t="s">
        <v>79</v>
      </c>
      <c r="I1273" s="8" t="s">
        <v>4109</v>
      </c>
      <c r="J1273" s="8" t="s">
        <v>812</v>
      </c>
      <c r="K1273" s="6"/>
      <c r="L1273" s="7" t="s">
        <v>22</v>
      </c>
      <c r="M1273" s="6" t="s">
        <v>40</v>
      </c>
      <c r="N1273" s="6"/>
      <c r="O1273" s="6">
        <f>HYPERLINK("https://docs.wto.org/imrd/directdoc.asp?DDFDocuments/t/G/TBTN22/BDI310A1.DOCX", "https://docs.wto.org/imrd/directdoc.asp?DDFDocuments/t/G/TBTN22/BDI310A1.DOCX")</f>
      </c>
      <c r="P1273" s="6">
        <f>HYPERLINK("https://docs.wto.org/imrd/directdoc.asp?DDFDocuments/u/G/TBTN22/BDI310A1.DOCX", "https://docs.wto.org/imrd/directdoc.asp?DDFDocuments/u/G/TBTN22/BDI310A1.DOCX")</f>
      </c>
      <c r="Q1273" s="6">
        <f>HYPERLINK("https://docs.wto.org/imrd/directdoc.asp?DDFDocuments/v/G/TBTN22/BDI310A1.DOCX", "https://docs.wto.org/imrd/directdoc.asp?DDFDocuments/v/G/TBTN22/BDI310A1.DOCX")</f>
      </c>
    </row>
    <row r="1274">
      <c r="A1274" s="6" t="s">
        <v>26</v>
      </c>
      <c r="B1274" s="7">
        <v>45587</v>
      </c>
      <c r="C1274" s="9">
        <f>HYPERLINK("https://eping.wto.org/en/Search?viewData= G/TBT/N/BDI/309/Add.1, G/TBT/N/KEN/1355/Add.1, G/TBT/N/RWA/750/Add.1, G/TBT/N/TZA/873/Add.1, G/TBT/N/UGA/1720/Add.1"," G/TBT/N/BDI/309/Add.1, G/TBT/N/KEN/1355/Add.1, G/TBT/N/RWA/750/Add.1, G/TBT/N/TZA/873/Add.1, G/TBT/N/UGA/1720/Add.1")</f>
      </c>
      <c r="D1274" s="8" t="s">
        <v>4218</v>
      </c>
      <c r="E1274" s="8" t="s">
        <v>4219</v>
      </c>
      <c r="F1274" s="8" t="s">
        <v>2081</v>
      </c>
      <c r="G1274" s="8" t="s">
        <v>2082</v>
      </c>
      <c r="H1274" s="8" t="s">
        <v>79</v>
      </c>
      <c r="I1274" s="8" t="s">
        <v>4109</v>
      </c>
      <c r="J1274" s="8" t="s">
        <v>812</v>
      </c>
      <c r="K1274" s="6"/>
      <c r="L1274" s="7" t="s">
        <v>22</v>
      </c>
      <c r="M1274" s="6" t="s">
        <v>40</v>
      </c>
      <c r="N1274" s="6"/>
      <c r="O1274" s="6">
        <f>HYPERLINK("https://docs.wto.org/imrd/directdoc.asp?DDFDocuments/t/G/TBTN22/BDI309A1.DOCX", "https://docs.wto.org/imrd/directdoc.asp?DDFDocuments/t/G/TBTN22/BDI309A1.DOCX")</f>
      </c>
      <c r="P1274" s="6">
        <f>HYPERLINK("https://docs.wto.org/imrd/directdoc.asp?DDFDocuments/u/G/TBTN22/BDI309A1.DOCX", "https://docs.wto.org/imrd/directdoc.asp?DDFDocuments/u/G/TBTN22/BDI309A1.DOCX")</f>
      </c>
      <c r="Q1274" s="6">
        <f>HYPERLINK("https://docs.wto.org/imrd/directdoc.asp?DDFDocuments/v/G/TBTN22/BDI309A1.DOCX", "https://docs.wto.org/imrd/directdoc.asp?DDFDocuments/v/G/TBTN22/BDI309A1.DOCX")</f>
      </c>
    </row>
    <row r="1275">
      <c r="A1275" s="6" t="s">
        <v>68</v>
      </c>
      <c r="B1275" s="7">
        <v>45587</v>
      </c>
      <c r="C1275" s="9">
        <f>HYPERLINK("https://eping.wto.org/en/Search?viewData= G/TBT/N/BDI/246/Add.2, G/TBT/N/KEN/1265/Add.2, G/TBT/N/RWA/676/Add.2, G/TBT/N/TZA/786/Add.2, G/TBT/N/UGA/1600/Add.2"," G/TBT/N/BDI/246/Add.2, G/TBT/N/KEN/1265/Add.2, G/TBT/N/RWA/676/Add.2, G/TBT/N/TZA/786/Add.2, G/TBT/N/UGA/1600/Add.2")</f>
      </c>
      <c r="D1275" s="8" t="s">
        <v>4171</v>
      </c>
      <c r="E1275" s="8" t="s">
        <v>4172</v>
      </c>
      <c r="F1275" s="8" t="s">
        <v>4173</v>
      </c>
      <c r="G1275" s="8" t="s">
        <v>4174</v>
      </c>
      <c r="H1275" s="8" t="s">
        <v>4175</v>
      </c>
      <c r="I1275" s="8" t="s">
        <v>1067</v>
      </c>
      <c r="J1275" s="8" t="s">
        <v>81</v>
      </c>
      <c r="K1275" s="6"/>
      <c r="L1275" s="7" t="s">
        <v>22</v>
      </c>
      <c r="M1275" s="6" t="s">
        <v>40</v>
      </c>
      <c r="N1275" s="6"/>
      <c r="O1275" s="6">
        <f>HYPERLINK("https://docs.wto.org/imrd/directdoc.asp?DDFDocuments/t/G/TBTN22/BDI246A2.DOCX", "https://docs.wto.org/imrd/directdoc.asp?DDFDocuments/t/G/TBTN22/BDI246A2.DOCX")</f>
      </c>
      <c r="P1275" s="6">
        <f>HYPERLINK("https://docs.wto.org/imrd/directdoc.asp?DDFDocuments/u/G/TBTN22/BDI246A2.DOCX", "https://docs.wto.org/imrd/directdoc.asp?DDFDocuments/u/G/TBTN22/BDI246A2.DOCX")</f>
      </c>
      <c r="Q1275" s="6">
        <f>HYPERLINK("https://docs.wto.org/imrd/directdoc.asp?DDFDocuments/v/G/TBTN22/BDI246A2.DOCX", "https://docs.wto.org/imrd/directdoc.asp?DDFDocuments/v/G/TBTN22/BDI246A2.DOCX")</f>
      </c>
    </row>
    <row r="1276">
      <c r="A1276" s="6" t="s">
        <v>68</v>
      </c>
      <c r="B1276" s="7">
        <v>45587</v>
      </c>
      <c r="C1276" s="9">
        <f>HYPERLINK("https://eping.wto.org/en/Search?viewData= G/TBT/N/BDI/311/Add.2, G/TBT/N/KEN/1357/Add.2, G/TBT/N/RWA/752/Add.2, G/TBT/N/TZA/875/Add.2, G/TBT/N/UGA/1722/Add.2"," G/TBT/N/BDI/311/Add.2, G/TBT/N/KEN/1357/Add.2, G/TBT/N/RWA/752/Add.2, G/TBT/N/TZA/875/Add.2, G/TBT/N/UGA/1722/Add.2")</f>
      </c>
      <c r="D1276" s="8" t="s">
        <v>2075</v>
      </c>
      <c r="E1276" s="8" t="s">
        <v>4180</v>
      </c>
      <c r="F1276" s="8" t="s">
        <v>2077</v>
      </c>
      <c r="G1276" s="8" t="s">
        <v>2078</v>
      </c>
      <c r="H1276" s="8" t="s">
        <v>79</v>
      </c>
      <c r="I1276" s="8" t="s">
        <v>1805</v>
      </c>
      <c r="J1276" s="8" t="s">
        <v>81</v>
      </c>
      <c r="K1276" s="6"/>
      <c r="L1276" s="7" t="s">
        <v>22</v>
      </c>
      <c r="M1276" s="6" t="s">
        <v>40</v>
      </c>
      <c r="N1276" s="6"/>
      <c r="O1276" s="6">
        <f>HYPERLINK("https://docs.wto.org/imrd/directdoc.asp?DDFDocuments/t/G/TBTN22/BDI311A2.DOCX", "https://docs.wto.org/imrd/directdoc.asp?DDFDocuments/t/G/TBTN22/BDI311A2.DOCX")</f>
      </c>
      <c r="P1276" s="6">
        <f>HYPERLINK("https://docs.wto.org/imrd/directdoc.asp?DDFDocuments/u/G/TBTN22/BDI311A2.DOCX", "https://docs.wto.org/imrd/directdoc.asp?DDFDocuments/u/G/TBTN22/BDI311A2.DOCX")</f>
      </c>
      <c r="Q1276" s="6">
        <f>HYPERLINK("https://docs.wto.org/imrd/directdoc.asp?DDFDocuments/v/G/TBTN22/BDI311A2.DOCX", "https://docs.wto.org/imrd/directdoc.asp?DDFDocuments/v/G/TBTN22/BDI311A2.DOCX")</f>
      </c>
    </row>
    <row r="1277">
      <c r="A1277" s="6" t="s">
        <v>49</v>
      </c>
      <c r="B1277" s="7">
        <v>45587</v>
      </c>
      <c r="C1277" s="9">
        <f>HYPERLINK("https://eping.wto.org/en/Search?viewData= G/TBT/N/BDI/273/Add.2, G/TBT/N/KEN/1301/Add.2, G/TBT/N/RWA/707/Add.2, G/TBT/N/TZA/826/Add.2, G/TBT/N/UGA/1681/Add.2"," G/TBT/N/BDI/273/Add.2, G/TBT/N/KEN/1301/Add.2, G/TBT/N/RWA/707/Add.2, G/TBT/N/TZA/826/Add.2, G/TBT/N/UGA/1681/Add.2")</f>
      </c>
      <c r="D1277" s="8" t="s">
        <v>4223</v>
      </c>
      <c r="E1277" s="8" t="s">
        <v>4224</v>
      </c>
      <c r="F1277" s="8" t="s">
        <v>4225</v>
      </c>
      <c r="G1277" s="8" t="s">
        <v>21</v>
      </c>
      <c r="H1277" s="8" t="s">
        <v>2073</v>
      </c>
      <c r="I1277" s="8" t="s">
        <v>4226</v>
      </c>
      <c r="J1277" s="8" t="s">
        <v>761</v>
      </c>
      <c r="K1277" s="6"/>
      <c r="L1277" s="7" t="s">
        <v>22</v>
      </c>
      <c r="M1277" s="6" t="s">
        <v>40</v>
      </c>
      <c r="N1277" s="6"/>
      <c r="O1277" s="6">
        <f>HYPERLINK("https://docs.wto.org/imrd/directdoc.asp?DDFDocuments/t/G/TBTN22/BDI273A2.DOCX", "https://docs.wto.org/imrd/directdoc.asp?DDFDocuments/t/G/TBTN22/BDI273A2.DOCX")</f>
      </c>
      <c r="P1277" s="6">
        <f>HYPERLINK("https://docs.wto.org/imrd/directdoc.asp?DDFDocuments/u/G/TBTN22/BDI273A2.DOCX", "https://docs.wto.org/imrd/directdoc.asp?DDFDocuments/u/G/TBTN22/BDI273A2.DOCX")</f>
      </c>
      <c r="Q1277" s="6">
        <f>HYPERLINK("https://docs.wto.org/imrd/directdoc.asp?DDFDocuments/v/G/TBTN22/BDI273A2.DOCX", "https://docs.wto.org/imrd/directdoc.asp?DDFDocuments/v/G/TBTN22/BDI273A2.DOCX")</f>
      </c>
    </row>
    <row r="1278">
      <c r="A1278" s="6" t="s">
        <v>60</v>
      </c>
      <c r="B1278" s="7">
        <v>45587</v>
      </c>
      <c r="C1278" s="9">
        <f>HYPERLINK("https://eping.wto.org/en/Search?viewData= G/TBT/N/BDI/268/Add.2, G/TBT/N/KEN/1297/Add.2, G/TBT/N/RWA/703/Add.2, G/TBT/N/TZA/822/Add.2, G/TBT/N/UGA/1677/Add.2"," G/TBT/N/BDI/268/Add.2, G/TBT/N/KEN/1297/Add.2, G/TBT/N/RWA/703/Add.2, G/TBT/N/TZA/822/Add.2, G/TBT/N/UGA/1677/Add.2")</f>
      </c>
      <c r="D1278" s="8" t="s">
        <v>4193</v>
      </c>
      <c r="E1278" s="8" t="s">
        <v>4194</v>
      </c>
      <c r="F1278" s="8" t="s">
        <v>4168</v>
      </c>
      <c r="G1278" s="8" t="s">
        <v>4169</v>
      </c>
      <c r="H1278" s="8" t="s">
        <v>4170</v>
      </c>
      <c r="I1278" s="8" t="s">
        <v>4165</v>
      </c>
      <c r="J1278" s="8" t="s">
        <v>812</v>
      </c>
      <c r="K1278" s="6"/>
      <c r="L1278" s="7" t="s">
        <v>22</v>
      </c>
      <c r="M1278" s="6" t="s">
        <v>40</v>
      </c>
      <c r="N1278" s="6"/>
      <c r="O1278" s="6">
        <f>HYPERLINK("https://docs.wto.org/imrd/directdoc.asp?DDFDocuments/t/G/TBTN22/BDI268A2.DOCX", "https://docs.wto.org/imrd/directdoc.asp?DDFDocuments/t/G/TBTN22/BDI268A2.DOCX")</f>
      </c>
      <c r="P1278" s="6">
        <f>HYPERLINK("https://docs.wto.org/imrd/directdoc.asp?DDFDocuments/u/G/TBTN22/BDI268A2.DOCX", "https://docs.wto.org/imrd/directdoc.asp?DDFDocuments/u/G/TBTN22/BDI268A2.DOCX")</f>
      </c>
      <c r="Q1278" s="6">
        <f>HYPERLINK("https://docs.wto.org/imrd/directdoc.asp?DDFDocuments/v/G/TBTN22/BDI268A2.DOCX", "https://docs.wto.org/imrd/directdoc.asp?DDFDocuments/v/G/TBTN22/BDI268A2.DOCX")</f>
      </c>
    </row>
    <row r="1279">
      <c r="A1279" s="6" t="s">
        <v>53</v>
      </c>
      <c r="B1279" s="7">
        <v>45587</v>
      </c>
      <c r="C1279" s="9">
        <f>HYPERLINK("https://eping.wto.org/en/Search?viewData= G/TBT/N/BDI/229/Add.2, G/TBT/N/KEN/1238/Add.2, G/TBT/N/RWA/655/Add.2, G/TBT/N/TZA/730/Add.2, G/TBT/N/UGA/1562/Add.2"," G/TBT/N/BDI/229/Add.2, G/TBT/N/KEN/1238/Add.2, G/TBT/N/RWA/655/Add.2, G/TBT/N/TZA/730/Add.2, G/TBT/N/UGA/1562/Add.2")</f>
      </c>
      <c r="D1279" s="8" t="s">
        <v>4204</v>
      </c>
      <c r="E1279" s="8" t="s">
        <v>4205</v>
      </c>
      <c r="F1279" s="8" t="s">
        <v>4197</v>
      </c>
      <c r="G1279" s="8" t="s">
        <v>22</v>
      </c>
      <c r="H1279" s="8" t="s">
        <v>2602</v>
      </c>
      <c r="I1279" s="8" t="s">
        <v>4198</v>
      </c>
      <c r="J1279" s="8" t="s">
        <v>812</v>
      </c>
      <c r="K1279" s="6"/>
      <c r="L1279" s="7" t="s">
        <v>22</v>
      </c>
      <c r="M1279" s="6" t="s">
        <v>40</v>
      </c>
      <c r="N1279" s="6"/>
      <c r="O1279" s="6">
        <f>HYPERLINK("https://docs.wto.org/imrd/directdoc.asp?DDFDocuments/t/G/TBTN22/BDI229A2.DOCX", "https://docs.wto.org/imrd/directdoc.asp?DDFDocuments/t/G/TBTN22/BDI229A2.DOCX")</f>
      </c>
      <c r="P1279" s="6">
        <f>HYPERLINK("https://docs.wto.org/imrd/directdoc.asp?DDFDocuments/u/G/TBTN22/BDI229A2.DOCX", "https://docs.wto.org/imrd/directdoc.asp?DDFDocuments/u/G/TBTN22/BDI229A2.DOCX")</f>
      </c>
      <c r="Q1279" s="6">
        <f>HYPERLINK("https://docs.wto.org/imrd/directdoc.asp?DDFDocuments/v/G/TBTN22/BDI229A2.DOCX", "https://docs.wto.org/imrd/directdoc.asp?DDFDocuments/v/G/TBTN22/BDI229A2.DOCX")</f>
      </c>
    </row>
    <row r="1280">
      <c r="A1280" s="6" t="s">
        <v>26</v>
      </c>
      <c r="B1280" s="7">
        <v>45587</v>
      </c>
      <c r="C1280" s="9">
        <f>HYPERLINK("https://eping.wto.org/en/Search?viewData= G/TBT/N/BDI/310/Add.1, G/TBT/N/KEN/1356/Add.1, G/TBT/N/RWA/751/Add.1, G/TBT/N/TZA/874/Add.1, G/TBT/N/UGA/1721/Add.1"," G/TBT/N/BDI/310/Add.1, G/TBT/N/KEN/1356/Add.1, G/TBT/N/RWA/751/Add.1, G/TBT/N/TZA/874/Add.1, G/TBT/N/UGA/1721/Add.1")</f>
      </c>
      <c r="D1280" s="8" t="s">
        <v>2109</v>
      </c>
      <c r="E1280" s="8" t="s">
        <v>4203</v>
      </c>
      <c r="F1280" s="8" t="s">
        <v>2111</v>
      </c>
      <c r="G1280" s="8" t="s">
        <v>2112</v>
      </c>
      <c r="H1280" s="8" t="s">
        <v>79</v>
      </c>
      <c r="I1280" s="8" t="s">
        <v>4109</v>
      </c>
      <c r="J1280" s="8" t="s">
        <v>812</v>
      </c>
      <c r="K1280" s="6"/>
      <c r="L1280" s="7" t="s">
        <v>22</v>
      </c>
      <c r="M1280" s="6" t="s">
        <v>40</v>
      </c>
      <c r="N1280" s="6"/>
      <c r="O1280" s="6">
        <f>HYPERLINK("https://docs.wto.org/imrd/directdoc.asp?DDFDocuments/t/G/TBTN22/BDI310A1.DOCX", "https://docs.wto.org/imrd/directdoc.asp?DDFDocuments/t/G/TBTN22/BDI310A1.DOCX")</f>
      </c>
      <c r="P1280" s="6">
        <f>HYPERLINK("https://docs.wto.org/imrd/directdoc.asp?DDFDocuments/u/G/TBTN22/BDI310A1.DOCX", "https://docs.wto.org/imrd/directdoc.asp?DDFDocuments/u/G/TBTN22/BDI310A1.DOCX")</f>
      </c>
      <c r="Q1280" s="6">
        <f>HYPERLINK("https://docs.wto.org/imrd/directdoc.asp?DDFDocuments/v/G/TBTN22/BDI310A1.DOCX", "https://docs.wto.org/imrd/directdoc.asp?DDFDocuments/v/G/TBTN22/BDI310A1.DOCX")</f>
      </c>
    </row>
    <row r="1281">
      <c r="A1281" s="6" t="s">
        <v>49</v>
      </c>
      <c r="B1281" s="7">
        <v>45587</v>
      </c>
      <c r="C1281" s="9">
        <f>HYPERLINK("https://eping.wto.org/en/Search?viewData= G/TBT/N/BDI/310/Add.1, G/TBT/N/KEN/1356/Add.1, G/TBT/N/RWA/751/Add.1, G/TBT/N/TZA/874/Add.1, G/TBT/N/UGA/1721/Add.1"," G/TBT/N/BDI/310/Add.1, G/TBT/N/KEN/1356/Add.1, G/TBT/N/RWA/751/Add.1, G/TBT/N/TZA/874/Add.1, G/TBT/N/UGA/1721/Add.1")</f>
      </c>
      <c r="D1281" s="8" t="s">
        <v>2109</v>
      </c>
      <c r="E1281" s="8" t="s">
        <v>4203</v>
      </c>
      <c r="F1281" s="8" t="s">
        <v>2111</v>
      </c>
      <c r="G1281" s="8" t="s">
        <v>2112</v>
      </c>
      <c r="H1281" s="8" t="s">
        <v>79</v>
      </c>
      <c r="I1281" s="8" t="s">
        <v>4109</v>
      </c>
      <c r="J1281" s="8" t="s">
        <v>812</v>
      </c>
      <c r="K1281" s="6"/>
      <c r="L1281" s="7" t="s">
        <v>22</v>
      </c>
      <c r="M1281" s="6" t="s">
        <v>40</v>
      </c>
      <c r="N1281" s="6"/>
      <c r="O1281" s="6">
        <f>HYPERLINK("https://docs.wto.org/imrd/directdoc.asp?DDFDocuments/t/G/TBTN22/BDI310A1.DOCX", "https://docs.wto.org/imrd/directdoc.asp?DDFDocuments/t/G/TBTN22/BDI310A1.DOCX")</f>
      </c>
      <c r="P1281" s="6">
        <f>HYPERLINK("https://docs.wto.org/imrd/directdoc.asp?DDFDocuments/u/G/TBTN22/BDI310A1.DOCX", "https://docs.wto.org/imrd/directdoc.asp?DDFDocuments/u/G/TBTN22/BDI310A1.DOCX")</f>
      </c>
      <c r="Q1281" s="6">
        <f>HYPERLINK("https://docs.wto.org/imrd/directdoc.asp?DDFDocuments/v/G/TBTN22/BDI310A1.DOCX", "https://docs.wto.org/imrd/directdoc.asp?DDFDocuments/v/G/TBTN22/BDI310A1.DOCX")</f>
      </c>
    </row>
    <row r="1282">
      <c r="A1282" s="6" t="s">
        <v>68</v>
      </c>
      <c r="B1282" s="7">
        <v>45587</v>
      </c>
      <c r="C1282" s="9">
        <f>HYPERLINK("https://eping.wto.org/en/Search?viewData= G/TBT/N/BDI/267/Add.2, G/TBT/N/KEN/1296/Add.2, G/TBT/N/RWA/702/Add.2, G/TBT/N/TZA/821/Add.2, G/TBT/N/UGA/1676/Add.2"," G/TBT/N/BDI/267/Add.2, G/TBT/N/KEN/1296/Add.2, G/TBT/N/RWA/702/Add.2, G/TBT/N/TZA/821/Add.2, G/TBT/N/UGA/1676/Add.2")</f>
      </c>
      <c r="D1282" s="8" t="s">
        <v>4166</v>
      </c>
      <c r="E1282" s="8" t="s">
        <v>4167</v>
      </c>
      <c r="F1282" s="8" t="s">
        <v>4168</v>
      </c>
      <c r="G1282" s="8" t="s">
        <v>4169</v>
      </c>
      <c r="H1282" s="8" t="s">
        <v>4170</v>
      </c>
      <c r="I1282" s="8" t="s">
        <v>1067</v>
      </c>
      <c r="J1282" s="8" t="s">
        <v>81</v>
      </c>
      <c r="K1282" s="6"/>
      <c r="L1282" s="7" t="s">
        <v>22</v>
      </c>
      <c r="M1282" s="6" t="s">
        <v>40</v>
      </c>
      <c r="N1282" s="6"/>
      <c r="O1282" s="6">
        <f>HYPERLINK("https://docs.wto.org/imrd/directdoc.asp?DDFDocuments/t/G/TBTN22/BDI267A2.DOCX", "https://docs.wto.org/imrd/directdoc.asp?DDFDocuments/t/G/TBTN22/BDI267A2.DOCX")</f>
      </c>
      <c r="P1282" s="6">
        <f>HYPERLINK("https://docs.wto.org/imrd/directdoc.asp?DDFDocuments/u/G/TBTN22/BDI267A2.DOCX", "https://docs.wto.org/imrd/directdoc.asp?DDFDocuments/u/G/TBTN22/BDI267A2.DOCX")</f>
      </c>
      <c r="Q1282" s="6">
        <f>HYPERLINK("https://docs.wto.org/imrd/directdoc.asp?DDFDocuments/v/G/TBTN22/BDI267A2.DOCX", "https://docs.wto.org/imrd/directdoc.asp?DDFDocuments/v/G/TBTN22/BDI267A2.DOCX")</f>
      </c>
    </row>
    <row r="1283">
      <c r="A1283" s="6" t="s">
        <v>68</v>
      </c>
      <c r="B1283" s="7">
        <v>45587</v>
      </c>
      <c r="C1283" s="9">
        <f>HYPERLINK("https://eping.wto.org/en/Search?viewData= G/TBT/N/BDI/244/Add.2, G/TBT/N/KEN/1263/Add.2, G/TBT/N/RWA/674/Add.2, G/TBT/N/TZA/784/Add.2, G/TBT/N/UGA/1598/Add.2"," G/TBT/N/BDI/244/Add.2, G/TBT/N/KEN/1263/Add.2, G/TBT/N/RWA/674/Add.2, G/TBT/N/TZA/784/Add.2, G/TBT/N/UGA/1598/Add.2")</f>
      </c>
      <c r="D1283" s="8" t="s">
        <v>4176</v>
      </c>
      <c r="E1283" s="8" t="s">
        <v>4177</v>
      </c>
      <c r="F1283" s="8" t="s">
        <v>4178</v>
      </c>
      <c r="G1283" s="8" t="s">
        <v>4179</v>
      </c>
      <c r="H1283" s="8" t="s">
        <v>4175</v>
      </c>
      <c r="I1283" s="8" t="s">
        <v>1067</v>
      </c>
      <c r="J1283" s="8" t="s">
        <v>81</v>
      </c>
      <c r="K1283" s="6"/>
      <c r="L1283" s="7" t="s">
        <v>22</v>
      </c>
      <c r="M1283" s="6" t="s">
        <v>40</v>
      </c>
      <c r="N1283" s="6"/>
      <c r="O1283" s="6">
        <f>HYPERLINK("https://docs.wto.org/imrd/directdoc.asp?DDFDocuments/t/G/TBTN22/BDI244A2.DOCX", "https://docs.wto.org/imrd/directdoc.asp?DDFDocuments/t/G/TBTN22/BDI244A2.DOCX")</f>
      </c>
      <c r="P1283" s="6">
        <f>HYPERLINK("https://docs.wto.org/imrd/directdoc.asp?DDFDocuments/u/G/TBTN22/BDI244A2.DOCX", "https://docs.wto.org/imrd/directdoc.asp?DDFDocuments/u/G/TBTN22/BDI244A2.DOCX")</f>
      </c>
      <c r="Q1283" s="6">
        <f>HYPERLINK("https://docs.wto.org/imrd/directdoc.asp?DDFDocuments/v/G/TBTN22/BDI244A2.DOCX", "https://docs.wto.org/imrd/directdoc.asp?DDFDocuments/v/G/TBTN22/BDI244A2.DOCX")</f>
      </c>
    </row>
    <row r="1284">
      <c r="A1284" s="6" t="s">
        <v>68</v>
      </c>
      <c r="B1284" s="7">
        <v>45587</v>
      </c>
      <c r="C1284" s="9">
        <f>HYPERLINK("https://eping.wto.org/en/Search?viewData= G/TBT/N/BDI/247/Add.2, G/TBT/N/KEN/1266/Add.2, G/TBT/N/RWA/677/Add.2, G/TBT/N/TZA/787/Add.2, G/TBT/N/UGA/1601/Add.2"," G/TBT/N/BDI/247/Add.2, G/TBT/N/KEN/1266/Add.2, G/TBT/N/RWA/677/Add.2, G/TBT/N/TZA/787/Add.2, G/TBT/N/UGA/1601/Add.2")</f>
      </c>
      <c r="D1284" s="8" t="s">
        <v>4160</v>
      </c>
      <c r="E1284" s="8" t="s">
        <v>4161</v>
      </c>
      <c r="F1284" s="8" t="s">
        <v>4162</v>
      </c>
      <c r="G1284" s="8" t="s">
        <v>4163</v>
      </c>
      <c r="H1284" s="8" t="s">
        <v>4164</v>
      </c>
      <c r="I1284" s="8" t="s">
        <v>1067</v>
      </c>
      <c r="J1284" s="8" t="s">
        <v>81</v>
      </c>
      <c r="K1284" s="6"/>
      <c r="L1284" s="7" t="s">
        <v>22</v>
      </c>
      <c r="M1284" s="6" t="s">
        <v>40</v>
      </c>
      <c r="N1284" s="6"/>
      <c r="O1284" s="6">
        <f>HYPERLINK("https://docs.wto.org/imrd/directdoc.asp?DDFDocuments/t/G/TBTN22/BDI247A2.DOCX", "https://docs.wto.org/imrd/directdoc.asp?DDFDocuments/t/G/TBTN22/BDI247A2.DOCX")</f>
      </c>
      <c r="P1284" s="6">
        <f>HYPERLINK("https://docs.wto.org/imrd/directdoc.asp?DDFDocuments/u/G/TBTN22/BDI247A2.DOCX", "https://docs.wto.org/imrd/directdoc.asp?DDFDocuments/u/G/TBTN22/BDI247A2.DOCX")</f>
      </c>
      <c r="Q1284" s="6">
        <f>HYPERLINK("https://docs.wto.org/imrd/directdoc.asp?DDFDocuments/v/G/TBTN22/BDI247A2.DOCX", "https://docs.wto.org/imrd/directdoc.asp?DDFDocuments/v/G/TBTN22/BDI247A2.DOCX")</f>
      </c>
    </row>
    <row r="1285">
      <c r="A1285" s="6" t="s">
        <v>60</v>
      </c>
      <c r="B1285" s="7">
        <v>45587</v>
      </c>
      <c r="C1285" s="9">
        <f>HYPERLINK("https://eping.wto.org/en/Search?viewData= G/TBT/N/BDI/216/Add.2, G/TBT/N/KEN/1225/Add.2, G/TBT/N/RWA/642/Add.2, G/TBT/N/TZA/717/Add.2, G/TBT/N/UGA/1549/Add.2"," G/TBT/N/BDI/216/Add.2, G/TBT/N/KEN/1225/Add.2, G/TBT/N/RWA/642/Add.2, G/TBT/N/TZA/717/Add.2, G/TBT/N/UGA/1549/Add.2")</f>
      </c>
      <c r="D1285" s="8" t="s">
        <v>4262</v>
      </c>
      <c r="E1285" s="8" t="s">
        <v>4263</v>
      </c>
      <c r="F1285" s="8" t="s">
        <v>4197</v>
      </c>
      <c r="G1285" s="8" t="s">
        <v>22</v>
      </c>
      <c r="H1285" s="8" t="s">
        <v>2602</v>
      </c>
      <c r="I1285" s="8" t="s">
        <v>4265</v>
      </c>
      <c r="J1285" s="8" t="s">
        <v>4283</v>
      </c>
      <c r="K1285" s="6"/>
      <c r="L1285" s="7" t="s">
        <v>22</v>
      </c>
      <c r="M1285" s="6" t="s">
        <v>40</v>
      </c>
      <c r="N1285" s="6"/>
      <c r="O1285" s="6">
        <f>HYPERLINK("https://docs.wto.org/imrd/directdoc.asp?DDFDocuments/t/G/TBTN22/BDI216A2.DOCX", "https://docs.wto.org/imrd/directdoc.asp?DDFDocuments/t/G/TBTN22/BDI216A2.DOCX")</f>
      </c>
      <c r="P1285" s="6">
        <f>HYPERLINK("https://docs.wto.org/imrd/directdoc.asp?DDFDocuments/u/G/TBTN22/BDI216A2.DOCX", "https://docs.wto.org/imrd/directdoc.asp?DDFDocuments/u/G/TBTN22/BDI216A2.DOCX")</f>
      </c>
      <c r="Q1285" s="6">
        <f>HYPERLINK("https://docs.wto.org/imrd/directdoc.asp?DDFDocuments/v/G/TBTN22/BDI216A2.DOCX", "https://docs.wto.org/imrd/directdoc.asp?DDFDocuments/v/G/TBTN22/BDI216A2.DOCX")</f>
      </c>
    </row>
    <row r="1286">
      <c r="A1286" s="6" t="s">
        <v>49</v>
      </c>
      <c r="B1286" s="7">
        <v>45587</v>
      </c>
      <c r="C1286" s="9">
        <f>HYPERLINK("https://eping.wto.org/en/Search?viewData= G/TBT/N/BDI/279/Add.2, G/TBT/N/KEN/1313/Add.2, G/TBT/N/RWA/713/Add.2, G/TBT/N/TZA/832/Add.2, G/TBT/N/UGA/1687/Add.2"," G/TBT/N/BDI/279/Add.2, G/TBT/N/KEN/1313/Add.2, G/TBT/N/RWA/713/Add.2, G/TBT/N/TZA/832/Add.2, G/TBT/N/UGA/1687/Add.2")</f>
      </c>
      <c r="D1286" s="8" t="s">
        <v>4184</v>
      </c>
      <c r="E1286" s="8" t="s">
        <v>4185</v>
      </c>
      <c r="F1286" s="8" t="s">
        <v>4186</v>
      </c>
      <c r="G1286" s="8" t="s">
        <v>2144</v>
      </c>
      <c r="H1286" s="8" t="s">
        <v>2073</v>
      </c>
      <c r="I1286" s="8" t="s">
        <v>4238</v>
      </c>
      <c r="J1286" s="8" t="s">
        <v>812</v>
      </c>
      <c r="K1286" s="6"/>
      <c r="L1286" s="7" t="s">
        <v>22</v>
      </c>
      <c r="M1286" s="6" t="s">
        <v>40</v>
      </c>
      <c r="N1286" s="6"/>
      <c r="O1286" s="6">
        <f>HYPERLINK("https://docs.wto.org/imrd/directdoc.asp?DDFDocuments/t/G/TBTN22/BDI279A2.DOCX", "https://docs.wto.org/imrd/directdoc.asp?DDFDocuments/t/G/TBTN22/BDI279A2.DOCX")</f>
      </c>
      <c r="P1286" s="6">
        <f>HYPERLINK("https://docs.wto.org/imrd/directdoc.asp?DDFDocuments/u/G/TBTN22/BDI279A2.DOCX", "https://docs.wto.org/imrd/directdoc.asp?DDFDocuments/u/G/TBTN22/BDI279A2.DOCX")</f>
      </c>
      <c r="Q1286" s="6">
        <f>HYPERLINK("https://docs.wto.org/imrd/directdoc.asp?DDFDocuments/v/G/TBTN22/BDI279A2.DOCX", "https://docs.wto.org/imrd/directdoc.asp?DDFDocuments/v/G/TBTN22/BDI279A2.DOCX")</f>
      </c>
    </row>
    <row r="1287">
      <c r="A1287" s="6" t="s">
        <v>49</v>
      </c>
      <c r="B1287" s="7">
        <v>45587</v>
      </c>
      <c r="C1287" s="9">
        <f>HYPERLINK("https://eping.wto.org/en/Search?viewData= G/TBT/N/BDI/247/Add.2, G/TBT/N/KEN/1266/Add.2, G/TBT/N/RWA/677/Add.2, G/TBT/N/TZA/787/Add.2, G/TBT/N/UGA/1601/Add.2"," G/TBT/N/BDI/247/Add.2, G/TBT/N/KEN/1266/Add.2, G/TBT/N/RWA/677/Add.2, G/TBT/N/TZA/787/Add.2, G/TBT/N/UGA/1601/Add.2")</f>
      </c>
      <c r="D1287" s="8" t="s">
        <v>4160</v>
      </c>
      <c r="E1287" s="8" t="s">
        <v>4161</v>
      </c>
      <c r="F1287" s="8" t="s">
        <v>4162</v>
      </c>
      <c r="G1287" s="8" t="s">
        <v>4163</v>
      </c>
      <c r="H1287" s="8" t="s">
        <v>4164</v>
      </c>
      <c r="I1287" s="8" t="s">
        <v>4165</v>
      </c>
      <c r="J1287" s="8" t="s">
        <v>812</v>
      </c>
      <c r="K1287" s="6"/>
      <c r="L1287" s="7" t="s">
        <v>22</v>
      </c>
      <c r="M1287" s="6" t="s">
        <v>40</v>
      </c>
      <c r="N1287" s="6"/>
      <c r="O1287" s="6">
        <f>HYPERLINK("https://docs.wto.org/imrd/directdoc.asp?DDFDocuments/t/G/TBTN22/BDI247A2.DOCX", "https://docs.wto.org/imrd/directdoc.asp?DDFDocuments/t/G/TBTN22/BDI247A2.DOCX")</f>
      </c>
      <c r="P1287" s="6">
        <f>HYPERLINK("https://docs.wto.org/imrd/directdoc.asp?DDFDocuments/u/G/TBTN22/BDI247A2.DOCX", "https://docs.wto.org/imrd/directdoc.asp?DDFDocuments/u/G/TBTN22/BDI247A2.DOCX")</f>
      </c>
      <c r="Q1287" s="6">
        <f>HYPERLINK("https://docs.wto.org/imrd/directdoc.asp?DDFDocuments/v/G/TBTN22/BDI247A2.DOCX", "https://docs.wto.org/imrd/directdoc.asp?DDFDocuments/v/G/TBTN22/BDI247A2.DOCX")</f>
      </c>
    </row>
    <row r="1288">
      <c r="A1288" s="6" t="s">
        <v>49</v>
      </c>
      <c r="B1288" s="7">
        <v>45587</v>
      </c>
      <c r="C1288" s="9">
        <f>HYPERLINK("https://eping.wto.org/en/Search?viewData= G/TBT/N/BDI/309/Add.1, G/TBT/N/KEN/1355/Add.1, G/TBT/N/RWA/750/Add.1, G/TBT/N/TZA/873/Add.1, G/TBT/N/UGA/1720/Add.1"," G/TBT/N/BDI/309/Add.1, G/TBT/N/KEN/1355/Add.1, G/TBT/N/RWA/750/Add.1, G/TBT/N/TZA/873/Add.1, G/TBT/N/UGA/1720/Add.1")</f>
      </c>
      <c r="D1288" s="8" t="s">
        <v>4218</v>
      </c>
      <c r="E1288" s="8" t="s">
        <v>4219</v>
      </c>
      <c r="F1288" s="8" t="s">
        <v>2081</v>
      </c>
      <c r="G1288" s="8" t="s">
        <v>2082</v>
      </c>
      <c r="H1288" s="8" t="s">
        <v>79</v>
      </c>
      <c r="I1288" s="8" t="s">
        <v>4109</v>
      </c>
      <c r="J1288" s="8" t="s">
        <v>812</v>
      </c>
      <c r="K1288" s="6"/>
      <c r="L1288" s="7" t="s">
        <v>22</v>
      </c>
      <c r="M1288" s="6" t="s">
        <v>40</v>
      </c>
      <c r="N1288" s="6"/>
      <c r="O1288" s="6">
        <f>HYPERLINK("https://docs.wto.org/imrd/directdoc.asp?DDFDocuments/t/G/TBTN22/BDI309A1.DOCX", "https://docs.wto.org/imrd/directdoc.asp?DDFDocuments/t/G/TBTN22/BDI309A1.DOCX")</f>
      </c>
      <c r="P1288" s="6">
        <f>HYPERLINK("https://docs.wto.org/imrd/directdoc.asp?DDFDocuments/u/G/TBTN22/BDI309A1.DOCX", "https://docs.wto.org/imrd/directdoc.asp?DDFDocuments/u/G/TBTN22/BDI309A1.DOCX")</f>
      </c>
      <c r="Q1288" s="6">
        <f>HYPERLINK("https://docs.wto.org/imrd/directdoc.asp?DDFDocuments/v/G/TBTN22/BDI309A1.DOCX", "https://docs.wto.org/imrd/directdoc.asp?DDFDocuments/v/G/TBTN22/BDI309A1.DOCX")</f>
      </c>
    </row>
    <row r="1289">
      <c r="A1289" s="6" t="s">
        <v>53</v>
      </c>
      <c r="B1289" s="7">
        <v>45587</v>
      </c>
      <c r="C1289" s="9">
        <f>HYPERLINK("https://eping.wto.org/en/Search?viewData= G/TBT/N/BDI/216/Add.2, G/TBT/N/KEN/1225/Add.2, G/TBT/N/RWA/642/Add.2, G/TBT/N/TZA/717/Add.2, G/TBT/N/UGA/1549/Add.2"," G/TBT/N/BDI/216/Add.2, G/TBT/N/KEN/1225/Add.2, G/TBT/N/RWA/642/Add.2, G/TBT/N/TZA/717/Add.2, G/TBT/N/UGA/1549/Add.2")</f>
      </c>
      <c r="D1289" s="8" t="s">
        <v>4262</v>
      </c>
      <c r="E1289" s="8" t="s">
        <v>4263</v>
      </c>
      <c r="F1289" s="8" t="s">
        <v>4197</v>
      </c>
      <c r="G1289" s="8" t="s">
        <v>22</v>
      </c>
      <c r="H1289" s="8" t="s">
        <v>2602</v>
      </c>
      <c r="I1289" s="8" t="s">
        <v>4265</v>
      </c>
      <c r="J1289" s="8" t="s">
        <v>4266</v>
      </c>
      <c r="K1289" s="6"/>
      <c r="L1289" s="7" t="s">
        <v>22</v>
      </c>
      <c r="M1289" s="6" t="s">
        <v>40</v>
      </c>
      <c r="N1289" s="6"/>
      <c r="O1289" s="6">
        <f>HYPERLINK("https://docs.wto.org/imrd/directdoc.asp?DDFDocuments/t/G/TBTN22/BDI216A2.DOCX", "https://docs.wto.org/imrd/directdoc.asp?DDFDocuments/t/G/TBTN22/BDI216A2.DOCX")</f>
      </c>
      <c r="P1289" s="6">
        <f>HYPERLINK("https://docs.wto.org/imrd/directdoc.asp?DDFDocuments/u/G/TBTN22/BDI216A2.DOCX", "https://docs.wto.org/imrd/directdoc.asp?DDFDocuments/u/G/TBTN22/BDI216A2.DOCX")</f>
      </c>
      <c r="Q1289" s="6">
        <f>HYPERLINK("https://docs.wto.org/imrd/directdoc.asp?DDFDocuments/v/G/TBTN22/BDI216A2.DOCX", "https://docs.wto.org/imrd/directdoc.asp?DDFDocuments/v/G/TBTN22/BDI216A2.DOCX")</f>
      </c>
    </row>
    <row r="1290">
      <c r="A1290" s="6" t="s">
        <v>68</v>
      </c>
      <c r="B1290" s="7">
        <v>45586</v>
      </c>
      <c r="C1290" s="9">
        <f>HYPERLINK("https://eping.wto.org/en/Search?viewData= G/TBT/N/BDI/243/Add.2, G/TBT/N/KEN/1262/Add.2, G/TBT/N/RWA/673/Add.2, G/TBT/N/TZA/783/Add.2, G/TBT/N/UGA/1597/Add.2"," G/TBT/N/BDI/243/Add.2, G/TBT/N/KEN/1262/Add.2, G/TBT/N/RWA/673/Add.2, G/TBT/N/TZA/783/Add.2, G/TBT/N/UGA/1597/Add.2")</f>
      </c>
      <c r="D1290" s="8" t="s">
        <v>4284</v>
      </c>
      <c r="E1290" s="8" t="s">
        <v>4285</v>
      </c>
      <c r="F1290" s="8" t="s">
        <v>4286</v>
      </c>
      <c r="G1290" s="8" t="s">
        <v>4287</v>
      </c>
      <c r="H1290" s="8" t="s">
        <v>4288</v>
      </c>
      <c r="I1290" s="8" t="s">
        <v>4289</v>
      </c>
      <c r="J1290" s="8" t="s">
        <v>783</v>
      </c>
      <c r="K1290" s="6"/>
      <c r="L1290" s="7" t="s">
        <v>22</v>
      </c>
      <c r="M1290" s="6" t="s">
        <v>40</v>
      </c>
      <c r="N1290" s="6"/>
      <c r="O1290" s="6">
        <f>HYPERLINK("https://docs.wto.org/imrd/directdoc.asp?DDFDocuments/t/G/TBTN22/BDI243A2.DOCX", "https://docs.wto.org/imrd/directdoc.asp?DDFDocuments/t/G/TBTN22/BDI243A2.DOCX")</f>
      </c>
      <c r="P1290" s="6">
        <f>HYPERLINK("https://docs.wto.org/imrd/directdoc.asp?DDFDocuments/u/G/TBTN22/BDI243A2.DOCX", "https://docs.wto.org/imrd/directdoc.asp?DDFDocuments/u/G/TBTN22/BDI243A2.DOCX")</f>
      </c>
      <c r="Q1290" s="6">
        <f>HYPERLINK("https://docs.wto.org/imrd/directdoc.asp?DDFDocuments/v/G/TBTN22/BDI243A2.DOCX", "https://docs.wto.org/imrd/directdoc.asp?DDFDocuments/v/G/TBTN22/BDI243A2.DOCX")</f>
      </c>
    </row>
    <row r="1291">
      <c r="A1291" s="6" t="s">
        <v>400</v>
      </c>
      <c r="B1291" s="7">
        <v>45586</v>
      </c>
      <c r="C1291" s="9">
        <f>HYPERLINK("https://eping.wto.org/en/Search?viewData= G/TBT/N/USA/1655/Add.9"," G/TBT/N/USA/1655/Add.9")</f>
      </c>
      <c r="D1291" s="8" t="s">
        <v>4290</v>
      </c>
      <c r="E1291" s="8" t="s">
        <v>4291</v>
      </c>
      <c r="F1291" s="8" t="s">
        <v>4292</v>
      </c>
      <c r="G1291" s="8" t="s">
        <v>22</v>
      </c>
      <c r="H1291" s="8" t="s">
        <v>4293</v>
      </c>
      <c r="I1291" s="8" t="s">
        <v>3262</v>
      </c>
      <c r="J1291" s="8" t="s">
        <v>22</v>
      </c>
      <c r="K1291" s="6"/>
      <c r="L1291" s="7" t="s">
        <v>22</v>
      </c>
      <c r="M1291" s="6" t="s">
        <v>40</v>
      </c>
      <c r="N1291" s="8" t="s">
        <v>4294</v>
      </c>
      <c r="O1291" s="6">
        <f>HYPERLINK("https://docs.wto.org/imrd/directdoc.asp?DDFDocuments/t/G/TBTN20/USA1655A9.DOCX", "https://docs.wto.org/imrd/directdoc.asp?DDFDocuments/t/G/TBTN20/USA1655A9.DOCX")</f>
      </c>
      <c r="P1291" s="6">
        <f>HYPERLINK("https://docs.wto.org/imrd/directdoc.asp?DDFDocuments/u/G/TBTN20/USA1655A9.DOCX", "https://docs.wto.org/imrd/directdoc.asp?DDFDocuments/u/G/TBTN20/USA1655A9.DOCX")</f>
      </c>
      <c r="Q1291" s="6">
        <f>HYPERLINK("https://docs.wto.org/imrd/directdoc.asp?DDFDocuments/v/G/TBTN20/USA1655A9.DOCX", "https://docs.wto.org/imrd/directdoc.asp?DDFDocuments/v/G/TBTN20/USA1655A9.DOCX")</f>
      </c>
    </row>
    <row r="1292">
      <c r="A1292" s="6" t="s">
        <v>49</v>
      </c>
      <c r="B1292" s="7">
        <v>45586</v>
      </c>
      <c r="C1292" s="9">
        <f>HYPERLINK("https://eping.wto.org/en/Search?viewData= G/TBT/N/BDI/241/Add.1, G/TBT/N/KEN/1260/Add.1, G/TBT/N/RWA/671/Add.1, G/TBT/N/TZA/781/Add.1, G/TBT/N/UGA/1594/Add.1"," G/TBT/N/BDI/241/Add.1, G/TBT/N/KEN/1260/Add.1, G/TBT/N/RWA/671/Add.1, G/TBT/N/TZA/781/Add.1, G/TBT/N/UGA/1594/Add.1")</f>
      </c>
      <c r="D1292" s="8" t="s">
        <v>4295</v>
      </c>
      <c r="E1292" s="8" t="s">
        <v>4296</v>
      </c>
      <c r="F1292" s="8" t="s">
        <v>4297</v>
      </c>
      <c r="G1292" s="8" t="s">
        <v>4298</v>
      </c>
      <c r="H1292" s="8" t="s">
        <v>4299</v>
      </c>
      <c r="I1292" s="8" t="s">
        <v>4300</v>
      </c>
      <c r="J1292" s="8" t="s">
        <v>4301</v>
      </c>
      <c r="K1292" s="6"/>
      <c r="L1292" s="7" t="s">
        <v>22</v>
      </c>
      <c r="M1292" s="6" t="s">
        <v>40</v>
      </c>
      <c r="N1292" s="6"/>
      <c r="O1292" s="6">
        <f>HYPERLINK("https://docs.wto.org/imrd/directdoc.asp?DDFDocuments/t/G/TBTN22/BDI241A1.DOCX", "https://docs.wto.org/imrd/directdoc.asp?DDFDocuments/t/G/TBTN22/BDI241A1.DOCX")</f>
      </c>
      <c r="P1292" s="6">
        <f>HYPERLINK("https://docs.wto.org/imrd/directdoc.asp?DDFDocuments/u/G/TBTN22/BDI241A1.DOCX", "https://docs.wto.org/imrd/directdoc.asp?DDFDocuments/u/G/TBTN22/BDI241A1.DOCX")</f>
      </c>
      <c r="Q1292" s="6">
        <f>HYPERLINK("https://docs.wto.org/imrd/directdoc.asp?DDFDocuments/v/G/TBTN22/BDI241A1.DOCX", "https://docs.wto.org/imrd/directdoc.asp?DDFDocuments/v/G/TBTN22/BDI241A1.DOCX")</f>
      </c>
    </row>
    <row r="1293">
      <c r="A1293" s="6" t="s">
        <v>60</v>
      </c>
      <c r="B1293" s="7">
        <v>45586</v>
      </c>
      <c r="C1293" s="9">
        <f>HYPERLINK("https://eping.wto.org/en/Search?viewData= G/TBT/N/BDI/242/Add.2, G/TBT/N/KEN/1261/Add.2, G/TBT/N/RWA/672/Add.2, G/TBT/N/TZA/782/Add.2, G/TBT/N/UGA/1595/Add.2"," G/TBT/N/BDI/242/Add.2, G/TBT/N/KEN/1261/Add.2, G/TBT/N/RWA/672/Add.2, G/TBT/N/TZA/782/Add.2, G/TBT/N/UGA/1595/Add.2")</f>
      </c>
      <c r="D1293" s="8" t="s">
        <v>4302</v>
      </c>
      <c r="E1293" s="8" t="s">
        <v>4303</v>
      </c>
      <c r="F1293" s="8" t="s">
        <v>4297</v>
      </c>
      <c r="G1293" s="8" t="s">
        <v>4298</v>
      </c>
      <c r="H1293" s="8" t="s">
        <v>4299</v>
      </c>
      <c r="I1293" s="8" t="s">
        <v>4304</v>
      </c>
      <c r="J1293" s="8" t="s">
        <v>4301</v>
      </c>
      <c r="K1293" s="6"/>
      <c r="L1293" s="7" t="s">
        <v>22</v>
      </c>
      <c r="M1293" s="6" t="s">
        <v>40</v>
      </c>
      <c r="N1293" s="6"/>
      <c r="O1293" s="6">
        <f>HYPERLINK("https://docs.wto.org/imrd/directdoc.asp?DDFDocuments/t/G/TBTN22/BDI242A2.DOCX", "https://docs.wto.org/imrd/directdoc.asp?DDFDocuments/t/G/TBTN22/BDI242A2.DOCX")</f>
      </c>
      <c r="P1293" s="6">
        <f>HYPERLINK("https://docs.wto.org/imrd/directdoc.asp?DDFDocuments/u/G/TBTN22/BDI242A2.DOCX", "https://docs.wto.org/imrd/directdoc.asp?DDFDocuments/u/G/TBTN22/BDI242A2.DOCX")</f>
      </c>
      <c r="Q1293" s="6">
        <f>HYPERLINK("https://docs.wto.org/imrd/directdoc.asp?DDFDocuments/v/G/TBTN22/BDI242A2.DOCX", "https://docs.wto.org/imrd/directdoc.asp?DDFDocuments/v/G/TBTN22/BDI242A2.DOCX")</f>
      </c>
    </row>
    <row r="1294">
      <c r="A1294" s="6" t="s">
        <v>26</v>
      </c>
      <c r="B1294" s="7">
        <v>45586</v>
      </c>
      <c r="C1294" s="9">
        <f>HYPERLINK("https://eping.wto.org/en/Search?viewData= G/TBT/N/BDI/242/Add.2, G/TBT/N/KEN/1261/Add.2, G/TBT/N/RWA/672/Add.2, G/TBT/N/TZA/782/Add.2, G/TBT/N/UGA/1595/Add.2"," G/TBT/N/BDI/242/Add.2, G/TBT/N/KEN/1261/Add.2, G/TBT/N/RWA/672/Add.2, G/TBT/N/TZA/782/Add.2, G/TBT/N/UGA/1595/Add.2")</f>
      </c>
      <c r="D1294" s="8" t="s">
        <v>4302</v>
      </c>
      <c r="E1294" s="8" t="s">
        <v>4303</v>
      </c>
      <c r="F1294" s="8" t="s">
        <v>4297</v>
      </c>
      <c r="G1294" s="8" t="s">
        <v>4298</v>
      </c>
      <c r="H1294" s="8" t="s">
        <v>4299</v>
      </c>
      <c r="I1294" s="8" t="s">
        <v>4304</v>
      </c>
      <c r="J1294" s="8" t="s">
        <v>4301</v>
      </c>
      <c r="K1294" s="6"/>
      <c r="L1294" s="7" t="s">
        <v>22</v>
      </c>
      <c r="M1294" s="6" t="s">
        <v>40</v>
      </c>
      <c r="N1294" s="6"/>
      <c r="O1294" s="6">
        <f>HYPERLINK("https://docs.wto.org/imrd/directdoc.asp?DDFDocuments/t/G/TBTN22/BDI242A2.DOCX", "https://docs.wto.org/imrd/directdoc.asp?DDFDocuments/t/G/TBTN22/BDI242A2.DOCX")</f>
      </c>
      <c r="P1294" s="6">
        <f>HYPERLINK("https://docs.wto.org/imrd/directdoc.asp?DDFDocuments/u/G/TBTN22/BDI242A2.DOCX", "https://docs.wto.org/imrd/directdoc.asp?DDFDocuments/u/G/TBTN22/BDI242A2.DOCX")</f>
      </c>
      <c r="Q1294" s="6">
        <f>HYPERLINK("https://docs.wto.org/imrd/directdoc.asp?DDFDocuments/v/G/TBTN22/BDI242A2.DOCX", "https://docs.wto.org/imrd/directdoc.asp?DDFDocuments/v/G/TBTN22/BDI242A2.DOCX")</f>
      </c>
    </row>
    <row r="1295">
      <c r="A1295" s="6" t="s">
        <v>53</v>
      </c>
      <c r="B1295" s="7">
        <v>45586</v>
      </c>
      <c r="C1295" s="9">
        <f>HYPERLINK("https://eping.wto.org/en/Search?viewData= G/TBT/N/BDI/272/Add.2, G/TBT/N/KEN/1300/Add.2, G/TBT/N/RWA/706/Add.2, G/TBT/N/TZA/825/Add.2, G/TBT/N/UGA/1680/Add.2"," G/TBT/N/BDI/272/Add.2, G/TBT/N/KEN/1300/Add.2, G/TBT/N/RWA/706/Add.2, G/TBT/N/TZA/825/Add.2, G/TBT/N/UGA/1680/Add.2")</f>
      </c>
      <c r="D1295" s="8" t="s">
        <v>4305</v>
      </c>
      <c r="E1295" s="8" t="s">
        <v>4306</v>
      </c>
      <c r="F1295" s="8" t="s">
        <v>4307</v>
      </c>
      <c r="G1295" s="8" t="s">
        <v>2193</v>
      </c>
      <c r="H1295" s="8" t="s">
        <v>2073</v>
      </c>
      <c r="I1295" s="8" t="s">
        <v>4308</v>
      </c>
      <c r="J1295" s="8" t="s">
        <v>761</v>
      </c>
      <c r="K1295" s="6"/>
      <c r="L1295" s="7" t="s">
        <v>22</v>
      </c>
      <c r="M1295" s="6" t="s">
        <v>40</v>
      </c>
      <c r="N1295" s="6"/>
      <c r="O1295" s="6">
        <f>HYPERLINK("https://docs.wto.org/imrd/directdoc.asp?DDFDocuments/t/G/TBTN22/BDI272A2.DOCX", "https://docs.wto.org/imrd/directdoc.asp?DDFDocuments/t/G/TBTN22/BDI272A2.DOCX")</f>
      </c>
      <c r="P1295" s="6">
        <f>HYPERLINK("https://docs.wto.org/imrd/directdoc.asp?DDFDocuments/u/G/TBTN22/BDI272A2.DOCX", "https://docs.wto.org/imrd/directdoc.asp?DDFDocuments/u/G/TBTN22/BDI272A2.DOCX")</f>
      </c>
      <c r="Q1295" s="6">
        <f>HYPERLINK("https://docs.wto.org/imrd/directdoc.asp?DDFDocuments/v/G/TBTN22/BDI272A2.DOCX", "https://docs.wto.org/imrd/directdoc.asp?DDFDocuments/v/G/TBTN22/BDI272A2.DOCX")</f>
      </c>
    </row>
    <row r="1296">
      <c r="A1296" s="6" t="s">
        <v>360</v>
      </c>
      <c r="B1296" s="7">
        <v>45586</v>
      </c>
      <c r="C1296" s="9">
        <f>HYPERLINK("https://eping.wto.org/en/Search?viewData= G/SPS/N/CHL/801/Add.1"," G/SPS/N/CHL/801/Add.1")</f>
      </c>
      <c r="D1296" s="8" t="s">
        <v>4309</v>
      </c>
      <c r="E1296" s="8" t="s">
        <v>4309</v>
      </c>
      <c r="F1296" s="8" t="s">
        <v>4310</v>
      </c>
      <c r="G1296" s="8" t="s">
        <v>4311</v>
      </c>
      <c r="H1296" s="8" t="s">
        <v>22</v>
      </c>
      <c r="I1296" s="8" t="s">
        <v>128</v>
      </c>
      <c r="J1296" s="8" t="s">
        <v>4312</v>
      </c>
      <c r="K1296" s="6"/>
      <c r="L1296" s="7" t="s">
        <v>22</v>
      </c>
      <c r="M1296" s="6" t="s">
        <v>40</v>
      </c>
      <c r="N1296" s="8" t="s">
        <v>4313</v>
      </c>
      <c r="O1296" s="6">
        <f>HYPERLINK("https://docs.wto.org/imrd/directdoc.asp?DDFDocuments/t/G/SPS/NCHL801A1.DOCX", "https://docs.wto.org/imrd/directdoc.asp?DDFDocuments/t/G/SPS/NCHL801A1.DOCX")</f>
      </c>
      <c r="P1296" s="6">
        <f>HYPERLINK("https://docs.wto.org/imrd/directdoc.asp?DDFDocuments/u/G/SPS/NCHL801A1.DOCX", "https://docs.wto.org/imrd/directdoc.asp?DDFDocuments/u/G/SPS/NCHL801A1.DOCX")</f>
      </c>
      <c r="Q1296" s="6">
        <f>HYPERLINK("https://docs.wto.org/imrd/directdoc.asp?DDFDocuments/v/G/SPS/NCHL801A1.DOCX", "https://docs.wto.org/imrd/directdoc.asp?DDFDocuments/v/G/SPS/NCHL801A1.DOCX")</f>
      </c>
    </row>
    <row r="1297">
      <c r="A1297" s="6" t="s">
        <v>3168</v>
      </c>
      <c r="B1297" s="7">
        <v>45586</v>
      </c>
      <c r="C1297" s="9">
        <f>HYPERLINK("https://eping.wto.org/en/Search?viewData= G/TBT/N/HND/103"," G/TBT/N/HND/103")</f>
      </c>
      <c r="D1297" s="8" t="s">
        <v>4314</v>
      </c>
      <c r="E1297" s="8" t="s">
        <v>4315</v>
      </c>
      <c r="F1297" s="8" t="s">
        <v>3991</v>
      </c>
      <c r="G1297" s="8" t="s">
        <v>22</v>
      </c>
      <c r="H1297" s="8" t="s">
        <v>1036</v>
      </c>
      <c r="I1297" s="8" t="s">
        <v>380</v>
      </c>
      <c r="J1297" s="8" t="s">
        <v>22</v>
      </c>
      <c r="K1297" s="6"/>
      <c r="L1297" s="7">
        <v>45646</v>
      </c>
      <c r="M1297" s="6" t="s">
        <v>32</v>
      </c>
      <c r="N1297" s="8" t="s">
        <v>4316</v>
      </c>
      <c r="O1297" s="6">
        <f>HYPERLINK("https://docs.wto.org/imrd/directdoc.asp?DDFDocuments/t/G/TBTN24/HND103.DOCX", "https://docs.wto.org/imrd/directdoc.asp?DDFDocuments/t/G/TBTN24/HND103.DOCX")</f>
      </c>
      <c r="P1297" s="6">
        <f>HYPERLINK("https://docs.wto.org/imrd/directdoc.asp?DDFDocuments/u/G/TBTN24/HND103.DOCX", "https://docs.wto.org/imrd/directdoc.asp?DDFDocuments/u/G/TBTN24/HND103.DOCX")</f>
      </c>
      <c r="Q1297" s="6">
        <f>HYPERLINK("https://docs.wto.org/imrd/directdoc.asp?DDFDocuments/v/G/TBTN24/HND103.DOCX", "https://docs.wto.org/imrd/directdoc.asp?DDFDocuments/v/G/TBTN24/HND103.DOCX")</f>
      </c>
    </row>
    <row r="1298">
      <c r="A1298" s="6" t="s">
        <v>53</v>
      </c>
      <c r="B1298" s="7">
        <v>45586</v>
      </c>
      <c r="C1298" s="9">
        <f>HYPERLINK("https://eping.wto.org/en/Search?viewData= G/TBT/N/BDI/237/Add.2, G/TBT/N/KEN/1256/Add.2, G/TBT/N/RWA/667/Add.2, G/TBT/N/TZA/777/Add.2, G/TBT/N/UGA/1590/Add.2"," G/TBT/N/BDI/237/Add.2, G/TBT/N/KEN/1256/Add.2, G/TBT/N/RWA/667/Add.2, G/TBT/N/TZA/777/Add.2, G/TBT/N/UGA/1590/Add.2")</f>
      </c>
      <c r="D1298" s="8" t="s">
        <v>4317</v>
      </c>
      <c r="E1298" s="8" t="s">
        <v>4318</v>
      </c>
      <c r="F1298" s="8" t="s">
        <v>4319</v>
      </c>
      <c r="G1298" s="8" t="s">
        <v>4320</v>
      </c>
      <c r="H1298" s="8" t="s">
        <v>4299</v>
      </c>
      <c r="I1298" s="8" t="s">
        <v>4304</v>
      </c>
      <c r="J1298" s="8" t="s">
        <v>4301</v>
      </c>
      <c r="K1298" s="6"/>
      <c r="L1298" s="7" t="s">
        <v>22</v>
      </c>
      <c r="M1298" s="6" t="s">
        <v>40</v>
      </c>
      <c r="N1298" s="6"/>
      <c r="O1298" s="6">
        <f>HYPERLINK("https://docs.wto.org/imrd/directdoc.asp?DDFDocuments/t/G/TBTN22/BDI237A2.DOCX", "https://docs.wto.org/imrd/directdoc.asp?DDFDocuments/t/G/TBTN22/BDI237A2.DOCX")</f>
      </c>
      <c r="P1298" s="6">
        <f>HYPERLINK("https://docs.wto.org/imrd/directdoc.asp?DDFDocuments/u/G/TBTN22/BDI237A2.DOCX", "https://docs.wto.org/imrd/directdoc.asp?DDFDocuments/u/G/TBTN22/BDI237A2.DOCX")</f>
      </c>
      <c r="Q1298" s="6">
        <f>HYPERLINK("https://docs.wto.org/imrd/directdoc.asp?DDFDocuments/v/G/TBTN22/BDI237A2.DOCX", "https://docs.wto.org/imrd/directdoc.asp?DDFDocuments/v/G/TBTN22/BDI237A2.DOCX")</f>
      </c>
    </row>
    <row r="1299">
      <c r="A1299" s="6" t="s">
        <v>400</v>
      </c>
      <c r="B1299" s="7">
        <v>45586</v>
      </c>
      <c r="C1299" s="9">
        <f>HYPERLINK("https://eping.wto.org/en/Search?viewData= G/SPS/N/USA/3463/Add.2"," G/SPS/N/USA/3463/Add.2")</f>
      </c>
      <c r="D1299" s="8" t="s">
        <v>4321</v>
      </c>
      <c r="E1299" s="8" t="s">
        <v>4322</v>
      </c>
      <c r="F1299" s="8" t="s">
        <v>4323</v>
      </c>
      <c r="G1299" s="8" t="s">
        <v>4324</v>
      </c>
      <c r="H1299" s="8" t="s">
        <v>22</v>
      </c>
      <c r="I1299" s="8" t="s">
        <v>120</v>
      </c>
      <c r="J1299" s="8" t="s">
        <v>4325</v>
      </c>
      <c r="K1299" s="6"/>
      <c r="L1299" s="7">
        <v>45674</v>
      </c>
      <c r="M1299" s="6" t="s">
        <v>40</v>
      </c>
      <c r="N1299" s="6"/>
      <c r="O1299" s="6">
        <f>HYPERLINK("https://docs.wto.org/imrd/directdoc.asp?DDFDocuments/t/G/SPS/NUSA3463A2.DOCX", "https://docs.wto.org/imrd/directdoc.asp?DDFDocuments/t/G/SPS/NUSA3463A2.DOCX")</f>
      </c>
      <c r="P1299" s="6">
        <f>HYPERLINK("https://docs.wto.org/imrd/directdoc.asp?DDFDocuments/u/G/SPS/NUSA3463A2.DOCX", "https://docs.wto.org/imrd/directdoc.asp?DDFDocuments/u/G/SPS/NUSA3463A2.DOCX")</f>
      </c>
      <c r="Q1299" s="6">
        <f>HYPERLINK("https://docs.wto.org/imrd/directdoc.asp?DDFDocuments/v/G/SPS/NUSA3463A2.DOCX", "https://docs.wto.org/imrd/directdoc.asp?DDFDocuments/v/G/SPS/NUSA3463A2.DOCX")</f>
      </c>
    </row>
    <row r="1300">
      <c r="A1300" s="6" t="s">
        <v>400</v>
      </c>
      <c r="B1300" s="7">
        <v>45586</v>
      </c>
      <c r="C1300" s="9">
        <f>HYPERLINK("https://eping.wto.org/en/Search?viewData= G/SPS/N/USA/3479"," G/SPS/N/USA/3479")</f>
      </c>
      <c r="D1300" s="8" t="s">
        <v>4326</v>
      </c>
      <c r="E1300" s="8" t="s">
        <v>4327</v>
      </c>
      <c r="F1300" s="8" t="s">
        <v>4328</v>
      </c>
      <c r="G1300" s="8" t="s">
        <v>22</v>
      </c>
      <c r="H1300" s="8" t="s">
        <v>22</v>
      </c>
      <c r="I1300" s="8" t="s">
        <v>120</v>
      </c>
      <c r="J1300" s="8" t="s">
        <v>416</v>
      </c>
      <c r="K1300" s="6"/>
      <c r="L1300" s="7" t="s">
        <v>22</v>
      </c>
      <c r="M1300" s="6" t="s">
        <v>32</v>
      </c>
      <c r="N1300" s="8" t="s">
        <v>4329</v>
      </c>
      <c r="O1300" s="6">
        <f>HYPERLINK("https://docs.wto.org/imrd/directdoc.asp?DDFDocuments/t/G/SPS/NUSA3479.DOCX", "https://docs.wto.org/imrd/directdoc.asp?DDFDocuments/t/G/SPS/NUSA3479.DOCX")</f>
      </c>
      <c r="P1300" s="6">
        <f>HYPERLINK("https://docs.wto.org/imrd/directdoc.asp?DDFDocuments/u/G/SPS/NUSA3479.DOCX", "https://docs.wto.org/imrd/directdoc.asp?DDFDocuments/u/G/SPS/NUSA3479.DOCX")</f>
      </c>
      <c r="Q1300" s="6">
        <f>HYPERLINK("https://docs.wto.org/imrd/directdoc.asp?DDFDocuments/v/G/SPS/NUSA3479.DOCX", "https://docs.wto.org/imrd/directdoc.asp?DDFDocuments/v/G/SPS/NUSA3479.DOCX")</f>
      </c>
    </row>
    <row r="1301">
      <c r="A1301" s="6" t="s">
        <v>1989</v>
      </c>
      <c r="B1301" s="7">
        <v>45586</v>
      </c>
      <c r="C1301" s="9">
        <f>HYPERLINK("https://eping.wto.org/en/Search?viewData= G/SPS/N/TUR/124/Add.1"," G/SPS/N/TUR/124/Add.1")</f>
      </c>
      <c r="D1301" s="8" t="s">
        <v>4330</v>
      </c>
      <c r="E1301" s="8" t="s">
        <v>4331</v>
      </c>
      <c r="F1301" s="8" t="s">
        <v>4112</v>
      </c>
      <c r="G1301" s="8" t="s">
        <v>22</v>
      </c>
      <c r="H1301" s="8" t="s">
        <v>22</v>
      </c>
      <c r="I1301" s="8" t="s">
        <v>120</v>
      </c>
      <c r="J1301" s="8" t="s">
        <v>4332</v>
      </c>
      <c r="K1301" s="6"/>
      <c r="L1301" s="7" t="s">
        <v>22</v>
      </c>
      <c r="M1301" s="6" t="s">
        <v>40</v>
      </c>
      <c r="N1301" s="6"/>
      <c r="O1301" s="6">
        <f>HYPERLINK("https://docs.wto.org/imrd/directdoc.asp?DDFDocuments/t/G/SPS/NTUR124A1.DOCX", "https://docs.wto.org/imrd/directdoc.asp?DDFDocuments/t/G/SPS/NTUR124A1.DOCX")</f>
      </c>
      <c r="P1301" s="6">
        <f>HYPERLINK("https://docs.wto.org/imrd/directdoc.asp?DDFDocuments/u/G/SPS/NTUR124A1.DOCX", "https://docs.wto.org/imrd/directdoc.asp?DDFDocuments/u/G/SPS/NTUR124A1.DOCX")</f>
      </c>
      <c r="Q1301" s="6">
        <f>HYPERLINK("https://docs.wto.org/imrd/directdoc.asp?DDFDocuments/v/G/SPS/NTUR124A1.DOCX", "https://docs.wto.org/imrd/directdoc.asp?DDFDocuments/v/G/SPS/NTUR124A1.DOCX")</f>
      </c>
    </row>
    <row r="1302">
      <c r="A1302" s="6" t="s">
        <v>60</v>
      </c>
      <c r="B1302" s="7">
        <v>45586</v>
      </c>
      <c r="C1302" s="9">
        <f>HYPERLINK("https://eping.wto.org/en/Search?viewData= G/TBT/N/BDI/240/Add.2, G/TBT/N/KEN/1259/Add.2, G/TBT/N/RWA/670/Add.2, G/TBT/N/TZA/780/Add.2, G/TBT/N/UGA/1593/Add.2"," G/TBT/N/BDI/240/Add.2, G/TBT/N/KEN/1259/Add.2, G/TBT/N/RWA/670/Add.2, G/TBT/N/TZA/780/Add.2, G/TBT/N/UGA/1593/Add.2")</f>
      </c>
      <c r="D1302" s="8" t="s">
        <v>4333</v>
      </c>
      <c r="E1302" s="8" t="s">
        <v>4334</v>
      </c>
      <c r="F1302" s="8" t="s">
        <v>4297</v>
      </c>
      <c r="G1302" s="8" t="s">
        <v>4298</v>
      </c>
      <c r="H1302" s="8" t="s">
        <v>4299</v>
      </c>
      <c r="I1302" s="8" t="s">
        <v>4335</v>
      </c>
      <c r="J1302" s="8" t="s">
        <v>4301</v>
      </c>
      <c r="K1302" s="6"/>
      <c r="L1302" s="7" t="s">
        <v>22</v>
      </c>
      <c r="M1302" s="6" t="s">
        <v>40</v>
      </c>
      <c r="N1302" s="6"/>
      <c r="O1302" s="6">
        <f>HYPERLINK("https://docs.wto.org/imrd/directdoc.asp?DDFDocuments/t/G/TBTN22/BDI240A2.DOCX", "https://docs.wto.org/imrd/directdoc.asp?DDFDocuments/t/G/TBTN22/BDI240A2.DOCX")</f>
      </c>
      <c r="P1302" s="6">
        <f>HYPERLINK("https://docs.wto.org/imrd/directdoc.asp?DDFDocuments/u/G/TBTN22/BDI240A2.DOCX", "https://docs.wto.org/imrd/directdoc.asp?DDFDocuments/u/G/TBTN22/BDI240A2.DOCX")</f>
      </c>
      <c r="Q1302" s="6">
        <f>HYPERLINK("https://docs.wto.org/imrd/directdoc.asp?DDFDocuments/v/G/TBTN22/BDI240A2.DOCX", "https://docs.wto.org/imrd/directdoc.asp?DDFDocuments/v/G/TBTN22/BDI240A2.DOCX")</f>
      </c>
    </row>
    <row r="1303">
      <c r="A1303" s="6" t="s">
        <v>26</v>
      </c>
      <c r="B1303" s="7">
        <v>45586</v>
      </c>
      <c r="C1303" s="9">
        <f>HYPERLINK("https://eping.wto.org/en/Search?viewData= G/TBT/N/BDI/240/Add.2, G/TBT/N/KEN/1259/Add.2, G/TBT/N/RWA/670/Add.2, G/TBT/N/TZA/780/Add.2, G/TBT/N/UGA/1593/Add.2"," G/TBT/N/BDI/240/Add.2, G/TBT/N/KEN/1259/Add.2, G/TBT/N/RWA/670/Add.2, G/TBT/N/TZA/780/Add.2, G/TBT/N/UGA/1593/Add.2")</f>
      </c>
      <c r="D1303" s="8" t="s">
        <v>4333</v>
      </c>
      <c r="E1303" s="8" t="s">
        <v>4334</v>
      </c>
      <c r="F1303" s="8" t="s">
        <v>4297</v>
      </c>
      <c r="G1303" s="8" t="s">
        <v>4298</v>
      </c>
      <c r="H1303" s="8" t="s">
        <v>4299</v>
      </c>
      <c r="I1303" s="8" t="s">
        <v>4335</v>
      </c>
      <c r="J1303" s="8" t="s">
        <v>4301</v>
      </c>
      <c r="K1303" s="6"/>
      <c r="L1303" s="7" t="s">
        <v>22</v>
      </c>
      <c r="M1303" s="6" t="s">
        <v>40</v>
      </c>
      <c r="N1303" s="6"/>
      <c r="O1303" s="6">
        <f>HYPERLINK("https://docs.wto.org/imrd/directdoc.asp?DDFDocuments/t/G/TBTN22/BDI240A2.DOCX", "https://docs.wto.org/imrd/directdoc.asp?DDFDocuments/t/G/TBTN22/BDI240A2.DOCX")</f>
      </c>
      <c r="P1303" s="6">
        <f>HYPERLINK("https://docs.wto.org/imrd/directdoc.asp?DDFDocuments/u/G/TBTN22/BDI240A2.DOCX", "https://docs.wto.org/imrd/directdoc.asp?DDFDocuments/u/G/TBTN22/BDI240A2.DOCX")</f>
      </c>
      <c r="Q1303" s="6">
        <f>HYPERLINK("https://docs.wto.org/imrd/directdoc.asp?DDFDocuments/v/G/TBTN22/BDI240A2.DOCX", "https://docs.wto.org/imrd/directdoc.asp?DDFDocuments/v/G/TBTN22/BDI240A2.DOCX")</f>
      </c>
    </row>
    <row r="1304">
      <c r="A1304" s="6" t="s">
        <v>26</v>
      </c>
      <c r="B1304" s="7">
        <v>45586</v>
      </c>
      <c r="C1304" s="9">
        <f>HYPERLINK("https://eping.wto.org/en/Search?viewData= G/TBT/N/BDI/272/Add.2, G/TBT/N/KEN/1300/Add.2, G/TBT/N/RWA/706/Add.2, G/TBT/N/TZA/825/Add.2, G/TBT/N/UGA/1680/Add.2"," G/TBT/N/BDI/272/Add.2, G/TBT/N/KEN/1300/Add.2, G/TBT/N/RWA/706/Add.2, G/TBT/N/TZA/825/Add.2, G/TBT/N/UGA/1680/Add.2")</f>
      </c>
      <c r="D1304" s="8" t="s">
        <v>4305</v>
      </c>
      <c r="E1304" s="8" t="s">
        <v>4306</v>
      </c>
      <c r="F1304" s="8" t="s">
        <v>4307</v>
      </c>
      <c r="G1304" s="8" t="s">
        <v>2193</v>
      </c>
      <c r="H1304" s="8" t="s">
        <v>2073</v>
      </c>
      <c r="I1304" s="8" t="s">
        <v>4308</v>
      </c>
      <c r="J1304" s="8" t="s">
        <v>761</v>
      </c>
      <c r="K1304" s="6"/>
      <c r="L1304" s="7" t="s">
        <v>22</v>
      </c>
      <c r="M1304" s="6" t="s">
        <v>40</v>
      </c>
      <c r="N1304" s="6"/>
      <c r="O1304" s="6">
        <f>HYPERLINK("https://docs.wto.org/imrd/directdoc.asp?DDFDocuments/t/G/TBTN22/BDI272A2.DOCX", "https://docs.wto.org/imrd/directdoc.asp?DDFDocuments/t/G/TBTN22/BDI272A2.DOCX")</f>
      </c>
      <c r="P1304" s="6">
        <f>HYPERLINK("https://docs.wto.org/imrd/directdoc.asp?DDFDocuments/u/G/TBTN22/BDI272A2.DOCX", "https://docs.wto.org/imrd/directdoc.asp?DDFDocuments/u/G/TBTN22/BDI272A2.DOCX")</f>
      </c>
      <c r="Q1304" s="6">
        <f>HYPERLINK("https://docs.wto.org/imrd/directdoc.asp?DDFDocuments/v/G/TBTN22/BDI272A2.DOCX", "https://docs.wto.org/imrd/directdoc.asp?DDFDocuments/v/G/TBTN22/BDI272A2.DOCX")</f>
      </c>
    </row>
    <row r="1305">
      <c r="A1305" s="6" t="s">
        <v>400</v>
      </c>
      <c r="B1305" s="7">
        <v>45586</v>
      </c>
      <c r="C1305" s="9">
        <f>HYPERLINK("https://eping.wto.org/en/Search?viewData= G/TBT/N/USA/1743/Add.1"," G/TBT/N/USA/1743/Add.1")</f>
      </c>
      <c r="D1305" s="8" t="s">
        <v>4336</v>
      </c>
      <c r="E1305" s="8" t="s">
        <v>4337</v>
      </c>
      <c r="F1305" s="8" t="s">
        <v>4338</v>
      </c>
      <c r="G1305" s="8" t="s">
        <v>22</v>
      </c>
      <c r="H1305" s="8" t="s">
        <v>4339</v>
      </c>
      <c r="I1305" s="8" t="s">
        <v>4340</v>
      </c>
      <c r="J1305" s="8" t="s">
        <v>22</v>
      </c>
      <c r="K1305" s="6"/>
      <c r="L1305" s="7" t="s">
        <v>22</v>
      </c>
      <c r="M1305" s="6" t="s">
        <v>40</v>
      </c>
      <c r="N1305" s="8" t="s">
        <v>4341</v>
      </c>
      <c r="O1305" s="6">
        <f>HYPERLINK("https://docs.wto.org/imrd/directdoc.asp?DDFDocuments/t/G/TBTN21/USA1743A1.DOCX", "https://docs.wto.org/imrd/directdoc.asp?DDFDocuments/t/G/TBTN21/USA1743A1.DOCX")</f>
      </c>
      <c r="P1305" s="6">
        <f>HYPERLINK("https://docs.wto.org/imrd/directdoc.asp?DDFDocuments/u/G/TBTN21/USA1743A1.DOCX", "https://docs.wto.org/imrd/directdoc.asp?DDFDocuments/u/G/TBTN21/USA1743A1.DOCX")</f>
      </c>
      <c r="Q1305" s="6">
        <f>HYPERLINK("https://docs.wto.org/imrd/directdoc.asp?DDFDocuments/v/G/TBTN21/USA1743A1.DOCX", "https://docs.wto.org/imrd/directdoc.asp?DDFDocuments/v/G/TBTN21/USA1743A1.DOCX")</f>
      </c>
    </row>
    <row r="1306">
      <c r="A1306" s="6" t="s">
        <v>68</v>
      </c>
      <c r="B1306" s="7">
        <v>45586</v>
      </c>
      <c r="C1306" s="9">
        <f>HYPERLINK("https://eping.wto.org/en/Search?viewData= G/TBT/N/BDI/238/Add.2, G/TBT/N/KEN/1257/Add.2, G/TBT/N/RWA/668/Add.2, G/TBT/N/TZA/778/Add.2, G/TBT/N/UGA/1591/Add.2"," G/TBT/N/BDI/238/Add.2, G/TBT/N/KEN/1257/Add.2, G/TBT/N/RWA/668/Add.2, G/TBT/N/TZA/778/Add.2, G/TBT/N/UGA/1591/Add.2")</f>
      </c>
      <c r="D1306" s="8" t="s">
        <v>4342</v>
      </c>
      <c r="E1306" s="8" t="s">
        <v>4343</v>
      </c>
      <c r="F1306" s="8" t="s">
        <v>4297</v>
      </c>
      <c r="G1306" s="8" t="s">
        <v>4298</v>
      </c>
      <c r="H1306" s="8" t="s">
        <v>4299</v>
      </c>
      <c r="I1306" s="8" t="s">
        <v>4344</v>
      </c>
      <c r="J1306" s="8" t="s">
        <v>4301</v>
      </c>
      <c r="K1306" s="6"/>
      <c r="L1306" s="7" t="s">
        <v>22</v>
      </c>
      <c r="M1306" s="6" t="s">
        <v>40</v>
      </c>
      <c r="N1306" s="6"/>
      <c r="O1306" s="6">
        <f>HYPERLINK("https://docs.wto.org/imrd/directdoc.asp?DDFDocuments/t/G/TBTN22/BDI238A2.DOCX", "https://docs.wto.org/imrd/directdoc.asp?DDFDocuments/t/G/TBTN22/BDI238A2.DOCX")</f>
      </c>
      <c r="P1306" s="6">
        <f>HYPERLINK("https://docs.wto.org/imrd/directdoc.asp?DDFDocuments/u/G/TBTN22/BDI238A2.DOCX", "https://docs.wto.org/imrd/directdoc.asp?DDFDocuments/u/G/TBTN22/BDI238A2.DOCX")</f>
      </c>
      <c r="Q1306" s="6">
        <f>HYPERLINK("https://docs.wto.org/imrd/directdoc.asp?DDFDocuments/v/G/TBTN22/BDI238A2.DOCX", "https://docs.wto.org/imrd/directdoc.asp?DDFDocuments/v/G/TBTN22/BDI238A2.DOCX")</f>
      </c>
    </row>
    <row r="1307">
      <c r="A1307" s="6" t="s">
        <v>226</v>
      </c>
      <c r="B1307" s="7">
        <v>45586</v>
      </c>
      <c r="C1307" s="9">
        <f>HYPERLINK("https://eping.wto.org/en/Search?viewData= G/TBT/N/ARE/627, G/TBT/N/BHR/711, G/TBT/N/KWT/691, G/TBT/N/OMN/535, G/TBT/N/QAT/686, G/TBT/N/SAU/1356, G/TBT/N/YEM/292"," G/TBT/N/ARE/627, G/TBT/N/BHR/711, G/TBT/N/KWT/691, G/TBT/N/OMN/535, G/TBT/N/QAT/686, G/TBT/N/SAU/1356, G/TBT/N/YEM/292")</f>
      </c>
      <c r="D1307" s="8" t="s">
        <v>4345</v>
      </c>
      <c r="E1307" s="8" t="s">
        <v>4346</v>
      </c>
      <c r="F1307" s="8" t="s">
        <v>2097</v>
      </c>
      <c r="G1307" s="8" t="s">
        <v>4347</v>
      </c>
      <c r="H1307" s="8" t="s">
        <v>4348</v>
      </c>
      <c r="I1307" s="8" t="s">
        <v>823</v>
      </c>
      <c r="J1307" s="8" t="s">
        <v>58</v>
      </c>
      <c r="K1307" s="6"/>
      <c r="L1307" s="7">
        <v>45646</v>
      </c>
      <c r="M1307" s="6" t="s">
        <v>32</v>
      </c>
      <c r="N1307" s="8" t="s">
        <v>4349</v>
      </c>
      <c r="O1307" s="6">
        <f>HYPERLINK("https://docs.wto.org/imrd/directdoc.asp?DDFDocuments/t/G/TBTN24/ARE627.DOCX", "https://docs.wto.org/imrd/directdoc.asp?DDFDocuments/t/G/TBTN24/ARE627.DOCX")</f>
      </c>
      <c r="P1307" s="6">
        <f>HYPERLINK("https://docs.wto.org/imrd/directdoc.asp?DDFDocuments/u/G/TBTN24/ARE627.DOCX", "https://docs.wto.org/imrd/directdoc.asp?DDFDocuments/u/G/TBTN24/ARE627.DOCX")</f>
      </c>
      <c r="Q1307" s="6">
        <f>HYPERLINK("https://docs.wto.org/imrd/directdoc.asp?DDFDocuments/v/G/TBTN24/ARE627.DOCX", "https://docs.wto.org/imrd/directdoc.asp?DDFDocuments/v/G/TBTN24/ARE627.DOCX")</f>
      </c>
    </row>
    <row r="1308">
      <c r="A1308" s="6" t="s">
        <v>1989</v>
      </c>
      <c r="B1308" s="7">
        <v>45586</v>
      </c>
      <c r="C1308" s="9">
        <f>HYPERLINK("https://eping.wto.org/en/Search?viewData= G/TBT/N/TUR/199/Add.1"," G/TBT/N/TUR/199/Add.1")</f>
      </c>
      <c r="D1308" s="8" t="s">
        <v>4330</v>
      </c>
      <c r="E1308" s="8" t="s">
        <v>4350</v>
      </c>
      <c r="F1308" s="8" t="s">
        <v>4112</v>
      </c>
      <c r="G1308" s="8" t="s">
        <v>22</v>
      </c>
      <c r="H1308" s="8" t="s">
        <v>358</v>
      </c>
      <c r="I1308" s="8" t="s">
        <v>39</v>
      </c>
      <c r="J1308" s="8" t="s">
        <v>81</v>
      </c>
      <c r="K1308" s="6"/>
      <c r="L1308" s="7" t="s">
        <v>22</v>
      </c>
      <c r="M1308" s="6" t="s">
        <v>40</v>
      </c>
      <c r="N1308" s="6"/>
      <c r="O1308" s="6">
        <f>HYPERLINK("https://docs.wto.org/imrd/directdoc.asp?DDFDocuments/t/G/TBTN22/TUR199A1.DOCX", "https://docs.wto.org/imrd/directdoc.asp?DDFDocuments/t/G/TBTN22/TUR199A1.DOCX")</f>
      </c>
      <c r="P1308" s="6">
        <f>HYPERLINK("https://docs.wto.org/imrd/directdoc.asp?DDFDocuments/u/G/TBTN22/TUR199A1.DOCX", "https://docs.wto.org/imrd/directdoc.asp?DDFDocuments/u/G/TBTN22/TUR199A1.DOCX")</f>
      </c>
      <c r="Q1308" s="6">
        <f>HYPERLINK("https://docs.wto.org/imrd/directdoc.asp?DDFDocuments/v/G/TBTN22/TUR199A1.DOCX", "https://docs.wto.org/imrd/directdoc.asp?DDFDocuments/v/G/TBTN22/TUR199A1.DOCX")</f>
      </c>
    </row>
    <row r="1309">
      <c r="A1309" s="6" t="s">
        <v>60</v>
      </c>
      <c r="B1309" s="7">
        <v>45586</v>
      </c>
      <c r="C1309" s="9">
        <f>HYPERLINK("https://eping.wto.org/en/Search?viewData= G/TBT/N/BDI/241/Add.1, G/TBT/N/KEN/1260/Add.1, G/TBT/N/RWA/671/Add.1, G/TBT/N/TZA/781/Add.1, G/TBT/N/UGA/1594/Add.1"," G/TBT/N/BDI/241/Add.1, G/TBT/N/KEN/1260/Add.1, G/TBT/N/RWA/671/Add.1, G/TBT/N/TZA/781/Add.1, G/TBT/N/UGA/1594/Add.1")</f>
      </c>
      <c r="D1309" s="8" t="s">
        <v>4295</v>
      </c>
      <c r="E1309" s="8" t="s">
        <v>4296</v>
      </c>
      <c r="F1309" s="8" t="s">
        <v>4297</v>
      </c>
      <c r="G1309" s="8" t="s">
        <v>4298</v>
      </c>
      <c r="H1309" s="8" t="s">
        <v>4299</v>
      </c>
      <c r="I1309" s="8" t="s">
        <v>4300</v>
      </c>
      <c r="J1309" s="8" t="s">
        <v>4301</v>
      </c>
      <c r="K1309" s="6"/>
      <c r="L1309" s="7" t="s">
        <v>22</v>
      </c>
      <c r="M1309" s="6" t="s">
        <v>40</v>
      </c>
      <c r="N1309" s="6"/>
      <c r="O1309" s="6">
        <f>HYPERLINK("https://docs.wto.org/imrd/directdoc.asp?DDFDocuments/t/G/TBTN22/BDI241A1.DOCX", "https://docs.wto.org/imrd/directdoc.asp?DDFDocuments/t/G/TBTN22/BDI241A1.DOCX")</f>
      </c>
      <c r="P1309" s="6">
        <f>HYPERLINK("https://docs.wto.org/imrd/directdoc.asp?DDFDocuments/u/G/TBTN22/BDI241A1.DOCX", "https://docs.wto.org/imrd/directdoc.asp?DDFDocuments/u/G/TBTN22/BDI241A1.DOCX")</f>
      </c>
      <c r="Q1309" s="6">
        <f>HYPERLINK("https://docs.wto.org/imrd/directdoc.asp?DDFDocuments/v/G/TBTN22/BDI241A1.DOCX", "https://docs.wto.org/imrd/directdoc.asp?DDFDocuments/v/G/TBTN22/BDI241A1.DOCX")</f>
      </c>
    </row>
    <row r="1310">
      <c r="A1310" s="6" t="s">
        <v>60</v>
      </c>
      <c r="B1310" s="7">
        <v>45586</v>
      </c>
      <c r="C1310" s="9">
        <f>HYPERLINK("https://eping.wto.org/en/Search?viewData= G/TBT/N/BDI/243/Add.2, G/TBT/N/KEN/1262/Add.2, G/TBT/N/RWA/673/Add.2, G/TBT/N/TZA/783/Add.2, G/TBT/N/UGA/1597/Add.2"," G/TBT/N/BDI/243/Add.2, G/TBT/N/KEN/1262/Add.2, G/TBT/N/RWA/673/Add.2, G/TBT/N/TZA/783/Add.2, G/TBT/N/UGA/1597/Add.2")</f>
      </c>
      <c r="D1310" s="8" t="s">
        <v>4284</v>
      </c>
      <c r="E1310" s="8" t="s">
        <v>4285</v>
      </c>
      <c r="F1310" s="8" t="s">
        <v>4286</v>
      </c>
      <c r="G1310" s="8" t="s">
        <v>4287</v>
      </c>
      <c r="H1310" s="8" t="s">
        <v>4288</v>
      </c>
      <c r="I1310" s="8" t="s">
        <v>4351</v>
      </c>
      <c r="J1310" s="8" t="s">
        <v>783</v>
      </c>
      <c r="K1310" s="6"/>
      <c r="L1310" s="7" t="s">
        <v>22</v>
      </c>
      <c r="M1310" s="6" t="s">
        <v>40</v>
      </c>
      <c r="N1310" s="6"/>
      <c r="O1310" s="6">
        <f>HYPERLINK("https://docs.wto.org/imrd/directdoc.asp?DDFDocuments/t/G/TBTN22/BDI243A2.DOCX", "https://docs.wto.org/imrd/directdoc.asp?DDFDocuments/t/G/TBTN22/BDI243A2.DOCX")</f>
      </c>
      <c r="P1310" s="6">
        <f>HYPERLINK("https://docs.wto.org/imrd/directdoc.asp?DDFDocuments/u/G/TBTN22/BDI243A2.DOCX", "https://docs.wto.org/imrd/directdoc.asp?DDFDocuments/u/G/TBTN22/BDI243A2.DOCX")</f>
      </c>
      <c r="Q1310" s="6">
        <f>HYPERLINK("https://docs.wto.org/imrd/directdoc.asp?DDFDocuments/v/G/TBTN22/BDI243A2.DOCX", "https://docs.wto.org/imrd/directdoc.asp?DDFDocuments/v/G/TBTN22/BDI243A2.DOCX")</f>
      </c>
    </row>
    <row r="1311">
      <c r="A1311" s="6" t="s">
        <v>53</v>
      </c>
      <c r="B1311" s="7">
        <v>45586</v>
      </c>
      <c r="C1311" s="9">
        <f>HYPERLINK("https://eping.wto.org/en/Search?viewData= G/TBT/N/BDI/243/Add.2, G/TBT/N/KEN/1262/Add.2, G/TBT/N/RWA/673/Add.2, G/TBT/N/TZA/783/Add.2, G/TBT/N/UGA/1597/Add.2"," G/TBT/N/BDI/243/Add.2, G/TBT/N/KEN/1262/Add.2, G/TBT/N/RWA/673/Add.2, G/TBT/N/TZA/783/Add.2, G/TBT/N/UGA/1597/Add.2")</f>
      </c>
      <c r="D1311" s="8" t="s">
        <v>4284</v>
      </c>
      <c r="E1311" s="8" t="s">
        <v>4285</v>
      </c>
      <c r="F1311" s="8" t="s">
        <v>4286</v>
      </c>
      <c r="G1311" s="8" t="s">
        <v>4287</v>
      </c>
      <c r="H1311" s="8" t="s">
        <v>4288</v>
      </c>
      <c r="I1311" s="8" t="s">
        <v>4351</v>
      </c>
      <c r="J1311" s="8" t="s">
        <v>783</v>
      </c>
      <c r="K1311" s="6"/>
      <c r="L1311" s="7" t="s">
        <v>22</v>
      </c>
      <c r="M1311" s="6" t="s">
        <v>40</v>
      </c>
      <c r="N1311" s="6"/>
      <c r="O1311" s="6">
        <f>HYPERLINK("https://docs.wto.org/imrd/directdoc.asp?DDFDocuments/t/G/TBTN22/BDI243A2.DOCX", "https://docs.wto.org/imrd/directdoc.asp?DDFDocuments/t/G/TBTN22/BDI243A2.DOCX")</f>
      </c>
      <c r="P1311" s="6">
        <f>HYPERLINK("https://docs.wto.org/imrd/directdoc.asp?DDFDocuments/u/G/TBTN22/BDI243A2.DOCX", "https://docs.wto.org/imrd/directdoc.asp?DDFDocuments/u/G/TBTN22/BDI243A2.DOCX")</f>
      </c>
      <c r="Q1311" s="6">
        <f>HYPERLINK("https://docs.wto.org/imrd/directdoc.asp?DDFDocuments/v/G/TBTN22/BDI243A2.DOCX", "https://docs.wto.org/imrd/directdoc.asp?DDFDocuments/v/G/TBTN22/BDI243A2.DOCX")</f>
      </c>
    </row>
    <row r="1312">
      <c r="A1312" s="6" t="s">
        <v>49</v>
      </c>
      <c r="B1312" s="7">
        <v>45586</v>
      </c>
      <c r="C1312" s="9">
        <f>HYPERLINK("https://eping.wto.org/en/Search?viewData= G/TBT/N/BDI/243/Add.2, G/TBT/N/KEN/1262/Add.2, G/TBT/N/RWA/673/Add.2, G/TBT/N/TZA/783/Add.2, G/TBT/N/UGA/1597/Add.2"," G/TBT/N/BDI/243/Add.2, G/TBT/N/KEN/1262/Add.2, G/TBT/N/RWA/673/Add.2, G/TBT/N/TZA/783/Add.2, G/TBT/N/UGA/1597/Add.2")</f>
      </c>
      <c r="D1312" s="8" t="s">
        <v>4284</v>
      </c>
      <c r="E1312" s="8" t="s">
        <v>4285</v>
      </c>
      <c r="F1312" s="8" t="s">
        <v>4286</v>
      </c>
      <c r="G1312" s="8" t="s">
        <v>4287</v>
      </c>
      <c r="H1312" s="8" t="s">
        <v>4288</v>
      </c>
      <c r="I1312" s="8" t="s">
        <v>4351</v>
      </c>
      <c r="J1312" s="8" t="s">
        <v>783</v>
      </c>
      <c r="K1312" s="6"/>
      <c r="L1312" s="7" t="s">
        <v>22</v>
      </c>
      <c r="M1312" s="6" t="s">
        <v>40</v>
      </c>
      <c r="N1312" s="6"/>
      <c r="O1312" s="6">
        <f>HYPERLINK("https://docs.wto.org/imrd/directdoc.asp?DDFDocuments/t/G/TBTN22/BDI243A2.DOCX", "https://docs.wto.org/imrd/directdoc.asp?DDFDocuments/t/G/TBTN22/BDI243A2.DOCX")</f>
      </c>
      <c r="P1312" s="6">
        <f>HYPERLINK("https://docs.wto.org/imrd/directdoc.asp?DDFDocuments/u/G/TBTN22/BDI243A2.DOCX", "https://docs.wto.org/imrd/directdoc.asp?DDFDocuments/u/G/TBTN22/BDI243A2.DOCX")</f>
      </c>
      <c r="Q1312" s="6">
        <f>HYPERLINK("https://docs.wto.org/imrd/directdoc.asp?DDFDocuments/v/G/TBTN22/BDI243A2.DOCX", "https://docs.wto.org/imrd/directdoc.asp?DDFDocuments/v/G/TBTN22/BDI243A2.DOCX")</f>
      </c>
    </row>
    <row r="1313">
      <c r="A1313" s="6" t="s">
        <v>26</v>
      </c>
      <c r="B1313" s="7">
        <v>45586</v>
      </c>
      <c r="C1313" s="9">
        <f>HYPERLINK("https://eping.wto.org/en/Search?viewData= G/TBT/N/BDI/243/Add.3, G/TBT/N/KEN/1262/Add.3, G/TBT/N/RWA/673/Add.3, G/TBT/N/TZA/783/Add.3, G/TBT/N/UGA/1597/Add.3"," G/TBT/N/BDI/243/Add.3, G/TBT/N/KEN/1262/Add.3, G/TBT/N/RWA/673/Add.3, G/TBT/N/TZA/783/Add.3, G/TBT/N/UGA/1597/Add.3")</f>
      </c>
      <c r="D1313" s="8" t="s">
        <v>4284</v>
      </c>
      <c r="E1313" s="8" t="s">
        <v>4352</v>
      </c>
      <c r="F1313" s="8" t="s">
        <v>4286</v>
      </c>
      <c r="G1313" s="8" t="s">
        <v>4287</v>
      </c>
      <c r="H1313" s="8" t="s">
        <v>4288</v>
      </c>
      <c r="I1313" s="8" t="s">
        <v>4351</v>
      </c>
      <c r="J1313" s="8" t="s">
        <v>783</v>
      </c>
      <c r="K1313" s="6"/>
      <c r="L1313" s="7" t="s">
        <v>22</v>
      </c>
      <c r="M1313" s="6" t="s">
        <v>40</v>
      </c>
      <c r="N1313" s="6"/>
      <c r="O1313" s="6">
        <f>HYPERLINK("https://docs.wto.org/imrd/directdoc.asp?DDFDocuments/t/G/TBTN22/BDI243A3.DOCX", "https://docs.wto.org/imrd/directdoc.asp?DDFDocuments/t/G/TBTN22/BDI243A3.DOCX")</f>
      </c>
      <c r="P1313" s="6">
        <f>HYPERLINK("https://docs.wto.org/imrd/directdoc.asp?DDFDocuments/u/G/TBTN22/BDI243A3.DOCX", "https://docs.wto.org/imrd/directdoc.asp?DDFDocuments/u/G/TBTN22/BDI243A3.DOCX")</f>
      </c>
      <c r="Q1313" s="6">
        <f>HYPERLINK("https://docs.wto.org/imrd/directdoc.asp?DDFDocuments/v/G/TBTN22/BDI243A3.DOCX", "https://docs.wto.org/imrd/directdoc.asp?DDFDocuments/v/G/TBTN22/BDI243A3.DOCX")</f>
      </c>
    </row>
    <row r="1314">
      <c r="A1314" s="6" t="s">
        <v>53</v>
      </c>
      <c r="B1314" s="7">
        <v>45586</v>
      </c>
      <c r="C1314" s="9">
        <f>HYPERLINK("https://eping.wto.org/en/Search?viewData= G/TBT/N/BDI/239/Add.2, G/TBT/N/KEN/1258/Add.2, G/TBT/N/RWA/669/Add.2, G/TBT/N/TZA/779/Add.2, G/TBT/N/UGA/1592/Add.2"," G/TBT/N/BDI/239/Add.2, G/TBT/N/KEN/1258/Add.2, G/TBT/N/RWA/669/Add.2, G/TBT/N/TZA/779/Add.2, G/TBT/N/UGA/1592/Add.2")</f>
      </c>
      <c r="D1314" s="8" t="s">
        <v>4353</v>
      </c>
      <c r="E1314" s="8" t="s">
        <v>4354</v>
      </c>
      <c r="F1314" s="8" t="s">
        <v>4319</v>
      </c>
      <c r="G1314" s="8" t="s">
        <v>4320</v>
      </c>
      <c r="H1314" s="8" t="s">
        <v>4299</v>
      </c>
      <c r="I1314" s="8" t="s">
        <v>4304</v>
      </c>
      <c r="J1314" s="8" t="s">
        <v>4301</v>
      </c>
      <c r="K1314" s="6"/>
      <c r="L1314" s="7" t="s">
        <v>22</v>
      </c>
      <c r="M1314" s="6" t="s">
        <v>40</v>
      </c>
      <c r="N1314" s="6"/>
      <c r="O1314" s="6">
        <f>HYPERLINK("https://docs.wto.org/imrd/directdoc.asp?DDFDocuments/t/G/TBTN22/BDI239A2.DOCX", "https://docs.wto.org/imrd/directdoc.asp?DDFDocuments/t/G/TBTN22/BDI239A2.DOCX")</f>
      </c>
      <c r="P1314" s="6">
        <f>HYPERLINK("https://docs.wto.org/imrd/directdoc.asp?DDFDocuments/u/G/TBTN22/BDI239A2.DOCX", "https://docs.wto.org/imrd/directdoc.asp?DDFDocuments/u/G/TBTN22/BDI239A2.DOCX")</f>
      </c>
      <c r="Q1314" s="6">
        <f>HYPERLINK("https://docs.wto.org/imrd/directdoc.asp?DDFDocuments/v/G/TBTN22/BDI239A2.DOCX", "https://docs.wto.org/imrd/directdoc.asp?DDFDocuments/v/G/TBTN22/BDI239A2.DOCX")</f>
      </c>
    </row>
    <row r="1315">
      <c r="A1315" s="6" t="s">
        <v>49</v>
      </c>
      <c r="B1315" s="7">
        <v>45586</v>
      </c>
      <c r="C1315" s="9">
        <f>HYPERLINK("https://eping.wto.org/en/Search?viewData= G/TBT/N/BDI/239/Add.2, G/TBT/N/KEN/1258/Add.2, G/TBT/N/RWA/669/Add.2, G/TBT/N/TZA/779/Add.2, G/TBT/N/UGA/1592/Add.2"," G/TBT/N/BDI/239/Add.2, G/TBT/N/KEN/1258/Add.2, G/TBT/N/RWA/669/Add.2, G/TBT/N/TZA/779/Add.2, G/TBT/N/UGA/1592/Add.2")</f>
      </c>
      <c r="D1315" s="8" t="s">
        <v>4353</v>
      </c>
      <c r="E1315" s="8" t="s">
        <v>4354</v>
      </c>
      <c r="F1315" s="8" t="s">
        <v>4319</v>
      </c>
      <c r="G1315" s="8" t="s">
        <v>4320</v>
      </c>
      <c r="H1315" s="8" t="s">
        <v>4299</v>
      </c>
      <c r="I1315" s="8" t="s">
        <v>4304</v>
      </c>
      <c r="J1315" s="8" t="s">
        <v>4301</v>
      </c>
      <c r="K1315" s="6"/>
      <c r="L1315" s="7" t="s">
        <v>22</v>
      </c>
      <c r="M1315" s="6" t="s">
        <v>40</v>
      </c>
      <c r="N1315" s="6"/>
      <c r="O1315" s="6">
        <f>HYPERLINK("https://docs.wto.org/imrd/directdoc.asp?DDFDocuments/t/G/TBTN22/BDI239A2.DOCX", "https://docs.wto.org/imrd/directdoc.asp?DDFDocuments/t/G/TBTN22/BDI239A2.DOCX")</f>
      </c>
      <c r="P1315" s="6">
        <f>HYPERLINK("https://docs.wto.org/imrd/directdoc.asp?DDFDocuments/u/G/TBTN22/BDI239A2.DOCX", "https://docs.wto.org/imrd/directdoc.asp?DDFDocuments/u/G/TBTN22/BDI239A2.DOCX")</f>
      </c>
      <c r="Q1315" s="6">
        <f>HYPERLINK("https://docs.wto.org/imrd/directdoc.asp?DDFDocuments/v/G/TBTN22/BDI239A2.DOCX", "https://docs.wto.org/imrd/directdoc.asp?DDFDocuments/v/G/TBTN22/BDI239A2.DOCX")</f>
      </c>
    </row>
    <row r="1316">
      <c r="A1316" s="6" t="s">
        <v>68</v>
      </c>
      <c r="B1316" s="7">
        <v>45586</v>
      </c>
      <c r="C1316" s="9">
        <f>HYPERLINK("https://eping.wto.org/en/Search?viewData= G/TBT/N/BDI/239/Add.2, G/TBT/N/KEN/1258/Add.2, G/TBT/N/RWA/669/Add.2, G/TBT/N/TZA/779/Add.2, G/TBT/N/UGA/1592/Add.2"," G/TBT/N/BDI/239/Add.2, G/TBT/N/KEN/1258/Add.2, G/TBT/N/RWA/669/Add.2, G/TBT/N/TZA/779/Add.2, G/TBT/N/UGA/1592/Add.2")</f>
      </c>
      <c r="D1316" s="8" t="s">
        <v>4353</v>
      </c>
      <c r="E1316" s="8" t="s">
        <v>4354</v>
      </c>
      <c r="F1316" s="8" t="s">
        <v>4319</v>
      </c>
      <c r="G1316" s="8" t="s">
        <v>4320</v>
      </c>
      <c r="H1316" s="8" t="s">
        <v>4299</v>
      </c>
      <c r="I1316" s="8" t="s">
        <v>4355</v>
      </c>
      <c r="J1316" s="8" t="s">
        <v>4301</v>
      </c>
      <c r="K1316" s="6"/>
      <c r="L1316" s="7" t="s">
        <v>22</v>
      </c>
      <c r="M1316" s="6" t="s">
        <v>40</v>
      </c>
      <c r="N1316" s="6"/>
      <c r="O1316" s="6">
        <f>HYPERLINK("https://docs.wto.org/imrd/directdoc.asp?DDFDocuments/t/G/TBTN22/BDI239A2.DOCX", "https://docs.wto.org/imrd/directdoc.asp?DDFDocuments/t/G/TBTN22/BDI239A2.DOCX")</f>
      </c>
      <c r="P1316" s="6">
        <f>HYPERLINK("https://docs.wto.org/imrd/directdoc.asp?DDFDocuments/u/G/TBTN22/BDI239A2.DOCX", "https://docs.wto.org/imrd/directdoc.asp?DDFDocuments/u/G/TBTN22/BDI239A2.DOCX")</f>
      </c>
      <c r="Q1316" s="6">
        <f>HYPERLINK("https://docs.wto.org/imrd/directdoc.asp?DDFDocuments/v/G/TBTN22/BDI239A2.DOCX", "https://docs.wto.org/imrd/directdoc.asp?DDFDocuments/v/G/TBTN22/BDI239A2.DOCX")</f>
      </c>
    </row>
    <row r="1317">
      <c r="A1317" s="6" t="s">
        <v>3271</v>
      </c>
      <c r="B1317" s="7">
        <v>45586</v>
      </c>
      <c r="C1317" s="9">
        <f>HYPERLINK("https://eping.wto.org/en/Search?viewData= G/TBT/N/ARE/627, G/TBT/N/BHR/711, G/TBT/N/KWT/691, G/TBT/N/OMN/535, G/TBT/N/QAT/686, G/TBT/N/SAU/1356, G/TBT/N/YEM/292"," G/TBT/N/ARE/627, G/TBT/N/BHR/711, G/TBT/N/KWT/691, G/TBT/N/OMN/535, G/TBT/N/QAT/686, G/TBT/N/SAU/1356, G/TBT/N/YEM/292")</f>
      </c>
      <c r="D1317" s="8" t="s">
        <v>4345</v>
      </c>
      <c r="E1317" s="8" t="s">
        <v>4346</v>
      </c>
      <c r="F1317" s="8" t="s">
        <v>2097</v>
      </c>
      <c r="G1317" s="8" t="s">
        <v>4347</v>
      </c>
      <c r="H1317" s="8" t="s">
        <v>4348</v>
      </c>
      <c r="I1317" s="8" t="s">
        <v>823</v>
      </c>
      <c r="J1317" s="8" t="s">
        <v>58</v>
      </c>
      <c r="K1317" s="6"/>
      <c r="L1317" s="7">
        <v>45646</v>
      </c>
      <c r="M1317" s="6" t="s">
        <v>32</v>
      </c>
      <c r="N1317" s="8" t="s">
        <v>4349</v>
      </c>
      <c r="O1317" s="6">
        <f>HYPERLINK("https://docs.wto.org/imrd/directdoc.asp?DDFDocuments/t/G/TBTN24/ARE627.DOCX", "https://docs.wto.org/imrd/directdoc.asp?DDFDocuments/t/G/TBTN24/ARE627.DOCX")</f>
      </c>
      <c r="P1317" s="6">
        <f>HYPERLINK("https://docs.wto.org/imrd/directdoc.asp?DDFDocuments/u/G/TBTN24/ARE627.DOCX", "https://docs.wto.org/imrd/directdoc.asp?DDFDocuments/u/G/TBTN24/ARE627.DOCX")</f>
      </c>
      <c r="Q1317" s="6">
        <f>HYPERLINK("https://docs.wto.org/imrd/directdoc.asp?DDFDocuments/v/G/TBTN24/ARE627.DOCX", "https://docs.wto.org/imrd/directdoc.asp?DDFDocuments/v/G/TBTN24/ARE627.DOCX")</f>
      </c>
    </row>
    <row r="1318">
      <c r="A1318" s="6" t="s">
        <v>3272</v>
      </c>
      <c r="B1318" s="7">
        <v>45586</v>
      </c>
      <c r="C1318" s="9">
        <f>HYPERLINK("https://eping.wto.org/en/Search?viewData= G/TBT/N/ARE/627, G/TBT/N/BHR/711, G/TBT/N/KWT/691, G/TBT/N/OMN/535, G/TBT/N/QAT/686, G/TBT/N/SAU/1356, G/TBT/N/YEM/292"," G/TBT/N/ARE/627, G/TBT/N/BHR/711, G/TBT/N/KWT/691, G/TBT/N/OMN/535, G/TBT/N/QAT/686, G/TBT/N/SAU/1356, G/TBT/N/YEM/292")</f>
      </c>
      <c r="D1318" s="8" t="s">
        <v>4345</v>
      </c>
      <c r="E1318" s="8" t="s">
        <v>4346</v>
      </c>
      <c r="F1318" s="8" t="s">
        <v>2097</v>
      </c>
      <c r="G1318" s="8" t="s">
        <v>4347</v>
      </c>
      <c r="H1318" s="8" t="s">
        <v>4348</v>
      </c>
      <c r="I1318" s="8" t="s">
        <v>823</v>
      </c>
      <c r="J1318" s="8" t="s">
        <v>58</v>
      </c>
      <c r="K1318" s="6"/>
      <c r="L1318" s="7">
        <v>45646</v>
      </c>
      <c r="M1318" s="6" t="s">
        <v>32</v>
      </c>
      <c r="N1318" s="8" t="s">
        <v>4349</v>
      </c>
      <c r="O1318" s="6">
        <f>HYPERLINK("https://docs.wto.org/imrd/directdoc.asp?DDFDocuments/t/G/TBTN24/ARE627.DOCX", "https://docs.wto.org/imrd/directdoc.asp?DDFDocuments/t/G/TBTN24/ARE627.DOCX")</f>
      </c>
      <c r="P1318" s="6">
        <f>HYPERLINK("https://docs.wto.org/imrd/directdoc.asp?DDFDocuments/u/G/TBTN24/ARE627.DOCX", "https://docs.wto.org/imrd/directdoc.asp?DDFDocuments/u/G/TBTN24/ARE627.DOCX")</f>
      </c>
      <c r="Q1318" s="6">
        <f>HYPERLINK("https://docs.wto.org/imrd/directdoc.asp?DDFDocuments/v/G/TBTN24/ARE627.DOCX", "https://docs.wto.org/imrd/directdoc.asp?DDFDocuments/v/G/TBTN24/ARE627.DOCX")</f>
      </c>
    </row>
    <row r="1319">
      <c r="A1319" s="6" t="s">
        <v>847</v>
      </c>
      <c r="B1319" s="7">
        <v>45586</v>
      </c>
      <c r="C1319" s="9">
        <f>HYPERLINK("https://eping.wto.org/en/Search?viewData= G/TBT/N/UKR/308"," G/TBT/N/UKR/308")</f>
      </c>
      <c r="D1319" s="8" t="s">
        <v>4356</v>
      </c>
      <c r="E1319" s="8" t="s">
        <v>4357</v>
      </c>
      <c r="F1319" s="8" t="s">
        <v>4358</v>
      </c>
      <c r="G1319" s="8" t="s">
        <v>2248</v>
      </c>
      <c r="H1319" s="8" t="s">
        <v>254</v>
      </c>
      <c r="I1319" s="8" t="s">
        <v>4359</v>
      </c>
      <c r="J1319" s="8" t="s">
        <v>58</v>
      </c>
      <c r="K1319" s="6"/>
      <c r="L1319" s="7">
        <v>45646</v>
      </c>
      <c r="M1319" s="6" t="s">
        <v>32</v>
      </c>
      <c r="N1319" s="8" t="s">
        <v>4360</v>
      </c>
      <c r="O1319" s="6">
        <f>HYPERLINK("https://docs.wto.org/imrd/directdoc.asp?DDFDocuments/t/G/TBTN24/UKR308.DOCX", "https://docs.wto.org/imrd/directdoc.asp?DDFDocuments/t/G/TBTN24/UKR308.DOCX")</f>
      </c>
      <c r="P1319" s="6">
        <f>HYPERLINK("https://docs.wto.org/imrd/directdoc.asp?DDFDocuments/u/G/TBTN24/UKR308.DOCX", "https://docs.wto.org/imrd/directdoc.asp?DDFDocuments/u/G/TBTN24/UKR308.DOCX")</f>
      </c>
      <c r="Q1319" s="6">
        <f>HYPERLINK("https://docs.wto.org/imrd/directdoc.asp?DDFDocuments/v/G/TBTN24/UKR308.DOCX", "https://docs.wto.org/imrd/directdoc.asp?DDFDocuments/v/G/TBTN24/UKR308.DOCX")</f>
      </c>
    </row>
    <row r="1320">
      <c r="A1320" s="6" t="s">
        <v>3255</v>
      </c>
      <c r="B1320" s="7">
        <v>45586</v>
      </c>
      <c r="C1320" s="9">
        <f>HYPERLINK("https://eping.wto.org/en/Search?viewData= G/TBT/N/ARE/627, G/TBT/N/BHR/711, G/TBT/N/KWT/691, G/TBT/N/OMN/535, G/TBT/N/QAT/686, G/TBT/N/SAU/1356, G/TBT/N/YEM/292"," G/TBT/N/ARE/627, G/TBT/N/BHR/711, G/TBT/N/KWT/691, G/TBT/N/OMN/535, G/TBT/N/QAT/686, G/TBT/N/SAU/1356, G/TBT/N/YEM/292")</f>
      </c>
      <c r="D1320" s="8" t="s">
        <v>4345</v>
      </c>
      <c r="E1320" s="8" t="s">
        <v>4346</v>
      </c>
      <c r="F1320" s="8" t="s">
        <v>2097</v>
      </c>
      <c r="G1320" s="8" t="s">
        <v>4347</v>
      </c>
      <c r="H1320" s="8" t="s">
        <v>4348</v>
      </c>
      <c r="I1320" s="8" t="s">
        <v>823</v>
      </c>
      <c r="J1320" s="8" t="s">
        <v>58</v>
      </c>
      <c r="K1320" s="6"/>
      <c r="L1320" s="7">
        <v>45646</v>
      </c>
      <c r="M1320" s="6" t="s">
        <v>32</v>
      </c>
      <c r="N1320" s="8" t="s">
        <v>4349</v>
      </c>
      <c r="O1320" s="6">
        <f>HYPERLINK("https://docs.wto.org/imrd/directdoc.asp?DDFDocuments/t/G/TBTN24/ARE627.DOCX", "https://docs.wto.org/imrd/directdoc.asp?DDFDocuments/t/G/TBTN24/ARE627.DOCX")</f>
      </c>
      <c r="P1320" s="6">
        <f>HYPERLINK("https://docs.wto.org/imrd/directdoc.asp?DDFDocuments/u/G/TBTN24/ARE627.DOCX", "https://docs.wto.org/imrd/directdoc.asp?DDFDocuments/u/G/TBTN24/ARE627.DOCX")</f>
      </c>
      <c r="Q1320" s="6">
        <f>HYPERLINK("https://docs.wto.org/imrd/directdoc.asp?DDFDocuments/v/G/TBTN24/ARE627.DOCX", "https://docs.wto.org/imrd/directdoc.asp?DDFDocuments/v/G/TBTN24/ARE627.DOCX")</f>
      </c>
    </row>
    <row r="1321">
      <c r="A1321" s="6" t="s">
        <v>60</v>
      </c>
      <c r="B1321" s="7">
        <v>45586</v>
      </c>
      <c r="C1321" s="9">
        <f>HYPERLINK("https://eping.wto.org/en/Search?viewData= G/TBT/N/BDI/238/Add.2, G/TBT/N/KEN/1257/Add.2, G/TBT/N/RWA/668/Add.2, G/TBT/N/TZA/778/Add.2, G/TBT/N/UGA/1591/Add.2"," G/TBT/N/BDI/238/Add.2, G/TBT/N/KEN/1257/Add.2, G/TBT/N/RWA/668/Add.2, G/TBT/N/TZA/778/Add.2, G/TBT/N/UGA/1591/Add.2")</f>
      </c>
      <c r="D1321" s="8" t="s">
        <v>4342</v>
      </c>
      <c r="E1321" s="8" t="s">
        <v>4343</v>
      </c>
      <c r="F1321" s="8" t="s">
        <v>4297</v>
      </c>
      <c r="G1321" s="8" t="s">
        <v>4298</v>
      </c>
      <c r="H1321" s="8" t="s">
        <v>4299</v>
      </c>
      <c r="I1321" s="8" t="s">
        <v>4361</v>
      </c>
      <c r="J1321" s="8" t="s">
        <v>4301</v>
      </c>
      <c r="K1321" s="6"/>
      <c r="L1321" s="7" t="s">
        <v>22</v>
      </c>
      <c r="M1321" s="6" t="s">
        <v>40</v>
      </c>
      <c r="N1321" s="6"/>
      <c r="O1321" s="6">
        <f>HYPERLINK("https://docs.wto.org/imrd/directdoc.asp?DDFDocuments/t/G/TBTN22/BDI238A2.DOCX", "https://docs.wto.org/imrd/directdoc.asp?DDFDocuments/t/G/TBTN22/BDI238A2.DOCX")</f>
      </c>
      <c r="P1321" s="6">
        <f>HYPERLINK("https://docs.wto.org/imrd/directdoc.asp?DDFDocuments/u/G/TBTN22/BDI238A2.DOCX", "https://docs.wto.org/imrd/directdoc.asp?DDFDocuments/u/G/TBTN22/BDI238A2.DOCX")</f>
      </c>
      <c r="Q1321" s="6">
        <f>HYPERLINK("https://docs.wto.org/imrd/directdoc.asp?DDFDocuments/v/G/TBTN22/BDI238A2.DOCX", "https://docs.wto.org/imrd/directdoc.asp?DDFDocuments/v/G/TBTN22/BDI238A2.DOCX")</f>
      </c>
    </row>
    <row r="1322">
      <c r="A1322" s="6" t="s">
        <v>26</v>
      </c>
      <c r="B1322" s="7">
        <v>45586</v>
      </c>
      <c r="C1322" s="9">
        <f>HYPERLINK("https://eping.wto.org/en/Search?viewData= G/TBT/N/BDI/243/Add.2, G/TBT/N/KEN/1262/Add.2, G/TBT/N/RWA/673/Add.2, G/TBT/N/TZA/783/Add.2, G/TBT/N/UGA/1597/Add.2"," G/TBT/N/BDI/243/Add.2, G/TBT/N/KEN/1262/Add.2, G/TBT/N/RWA/673/Add.2, G/TBT/N/TZA/783/Add.2, G/TBT/N/UGA/1597/Add.2")</f>
      </c>
      <c r="D1322" s="8" t="s">
        <v>4284</v>
      </c>
      <c r="E1322" s="8" t="s">
        <v>4285</v>
      </c>
      <c r="F1322" s="8" t="s">
        <v>4286</v>
      </c>
      <c r="G1322" s="8" t="s">
        <v>4287</v>
      </c>
      <c r="H1322" s="8" t="s">
        <v>4288</v>
      </c>
      <c r="I1322" s="8" t="s">
        <v>4351</v>
      </c>
      <c r="J1322" s="8" t="s">
        <v>783</v>
      </c>
      <c r="K1322" s="6"/>
      <c r="L1322" s="7" t="s">
        <v>22</v>
      </c>
      <c r="M1322" s="6" t="s">
        <v>40</v>
      </c>
      <c r="N1322" s="6"/>
      <c r="O1322" s="6">
        <f>HYPERLINK("https://docs.wto.org/imrd/directdoc.asp?DDFDocuments/t/G/TBTN22/BDI243A2.DOCX", "https://docs.wto.org/imrd/directdoc.asp?DDFDocuments/t/G/TBTN22/BDI243A2.DOCX")</f>
      </c>
      <c r="P1322" s="6">
        <f>HYPERLINK("https://docs.wto.org/imrd/directdoc.asp?DDFDocuments/u/G/TBTN22/BDI243A2.DOCX", "https://docs.wto.org/imrd/directdoc.asp?DDFDocuments/u/G/TBTN22/BDI243A2.DOCX")</f>
      </c>
      <c r="Q1322" s="6">
        <f>HYPERLINK("https://docs.wto.org/imrd/directdoc.asp?DDFDocuments/v/G/TBTN22/BDI243A2.DOCX", "https://docs.wto.org/imrd/directdoc.asp?DDFDocuments/v/G/TBTN22/BDI243A2.DOCX")</f>
      </c>
    </row>
    <row r="1323">
      <c r="A1323" s="6" t="s">
        <v>170</v>
      </c>
      <c r="B1323" s="7">
        <v>45586</v>
      </c>
      <c r="C1323" s="9">
        <f>HYPERLINK("https://eping.wto.org/en/Search?viewData= G/TBT/N/ARE/627, G/TBT/N/BHR/711, G/TBT/N/KWT/691, G/TBT/N/OMN/535, G/TBT/N/QAT/686, G/TBT/N/SAU/1356, G/TBT/N/YEM/292"," G/TBT/N/ARE/627, G/TBT/N/BHR/711, G/TBT/N/KWT/691, G/TBT/N/OMN/535, G/TBT/N/QAT/686, G/TBT/N/SAU/1356, G/TBT/N/YEM/292")</f>
      </c>
      <c r="D1323" s="8" t="s">
        <v>4345</v>
      </c>
      <c r="E1323" s="8" t="s">
        <v>4346</v>
      </c>
      <c r="F1323" s="8" t="s">
        <v>2097</v>
      </c>
      <c r="G1323" s="8" t="s">
        <v>4347</v>
      </c>
      <c r="H1323" s="8" t="s">
        <v>4348</v>
      </c>
      <c r="I1323" s="8" t="s">
        <v>823</v>
      </c>
      <c r="J1323" s="8" t="s">
        <v>58</v>
      </c>
      <c r="K1323" s="6"/>
      <c r="L1323" s="7">
        <v>45646</v>
      </c>
      <c r="M1323" s="6" t="s">
        <v>32</v>
      </c>
      <c r="N1323" s="8" t="s">
        <v>4349</v>
      </c>
      <c r="O1323" s="6">
        <f>HYPERLINK("https://docs.wto.org/imrd/directdoc.asp?DDFDocuments/t/G/TBTN24/ARE627.DOCX", "https://docs.wto.org/imrd/directdoc.asp?DDFDocuments/t/G/TBTN24/ARE627.DOCX")</f>
      </c>
      <c r="P1323" s="6">
        <f>HYPERLINK("https://docs.wto.org/imrd/directdoc.asp?DDFDocuments/u/G/TBTN24/ARE627.DOCX", "https://docs.wto.org/imrd/directdoc.asp?DDFDocuments/u/G/TBTN24/ARE627.DOCX")</f>
      </c>
      <c r="Q1323" s="6">
        <f>HYPERLINK("https://docs.wto.org/imrd/directdoc.asp?DDFDocuments/v/G/TBTN24/ARE627.DOCX", "https://docs.wto.org/imrd/directdoc.asp?DDFDocuments/v/G/TBTN24/ARE627.DOCX")</f>
      </c>
    </row>
    <row r="1324">
      <c r="A1324" s="6" t="s">
        <v>1989</v>
      </c>
      <c r="B1324" s="7">
        <v>45586</v>
      </c>
      <c r="C1324" s="9">
        <f>HYPERLINK("https://eping.wto.org/en/Search?viewData= G/TBT/N/TUR/221"," G/TBT/N/TUR/221")</f>
      </c>
      <c r="D1324" s="8" t="s">
        <v>4362</v>
      </c>
      <c r="E1324" s="8" t="s">
        <v>4363</v>
      </c>
      <c r="F1324" s="8" t="s">
        <v>4112</v>
      </c>
      <c r="G1324" s="8" t="s">
        <v>22</v>
      </c>
      <c r="H1324" s="8" t="s">
        <v>115</v>
      </c>
      <c r="I1324" s="8" t="s">
        <v>39</v>
      </c>
      <c r="J1324" s="8" t="s">
        <v>58</v>
      </c>
      <c r="K1324" s="6"/>
      <c r="L1324" s="7">
        <v>45646</v>
      </c>
      <c r="M1324" s="6" t="s">
        <v>32</v>
      </c>
      <c r="N1324" s="8" t="s">
        <v>4364</v>
      </c>
      <c r="O1324" s="6">
        <f>HYPERLINK("https://docs.wto.org/imrd/directdoc.asp?DDFDocuments/t/G/TBTN24/TUR221.DOCX", "https://docs.wto.org/imrd/directdoc.asp?DDFDocuments/t/G/TBTN24/TUR221.DOCX")</f>
      </c>
      <c r="P1324" s="6">
        <f>HYPERLINK("https://docs.wto.org/imrd/directdoc.asp?DDFDocuments/u/G/TBTN24/TUR221.DOCX", "https://docs.wto.org/imrd/directdoc.asp?DDFDocuments/u/G/TBTN24/TUR221.DOCX")</f>
      </c>
      <c r="Q1324" s="6">
        <f>HYPERLINK("https://docs.wto.org/imrd/directdoc.asp?DDFDocuments/v/G/TBTN24/TUR221.DOCX", "https://docs.wto.org/imrd/directdoc.asp?DDFDocuments/v/G/TBTN24/TUR221.DOCX")</f>
      </c>
    </row>
    <row r="1325">
      <c r="A1325" s="6" t="s">
        <v>513</v>
      </c>
      <c r="B1325" s="7">
        <v>45586</v>
      </c>
      <c r="C1325" s="9">
        <f>HYPERLINK("https://eping.wto.org/en/Search?viewData= G/TBT/N/IND/348"," G/TBT/N/IND/348")</f>
      </c>
      <c r="D1325" s="8" t="s">
        <v>4365</v>
      </c>
      <c r="E1325" s="8" t="s">
        <v>4366</v>
      </c>
      <c r="F1325" s="8" t="s">
        <v>3722</v>
      </c>
      <c r="G1325" s="8" t="s">
        <v>22</v>
      </c>
      <c r="H1325" s="8" t="s">
        <v>115</v>
      </c>
      <c r="I1325" s="8" t="s">
        <v>138</v>
      </c>
      <c r="J1325" s="8" t="s">
        <v>58</v>
      </c>
      <c r="K1325" s="6"/>
      <c r="L1325" s="7">
        <v>45646</v>
      </c>
      <c r="M1325" s="6" t="s">
        <v>32</v>
      </c>
      <c r="N1325" s="8" t="s">
        <v>4367</v>
      </c>
      <c r="O1325" s="6">
        <f>HYPERLINK("https://docs.wto.org/imrd/directdoc.asp?DDFDocuments/t/G/TBTN24/IND348.DOCX", "https://docs.wto.org/imrd/directdoc.asp?DDFDocuments/t/G/TBTN24/IND348.DOCX")</f>
      </c>
      <c r="P1325" s="6">
        <f>HYPERLINK("https://docs.wto.org/imrd/directdoc.asp?DDFDocuments/u/G/TBTN24/IND348.DOCX", "https://docs.wto.org/imrd/directdoc.asp?DDFDocuments/u/G/TBTN24/IND348.DOCX")</f>
      </c>
      <c r="Q1325" s="6">
        <f>HYPERLINK("https://docs.wto.org/imrd/directdoc.asp?DDFDocuments/v/G/TBTN24/IND348.DOCX", "https://docs.wto.org/imrd/directdoc.asp?DDFDocuments/v/G/TBTN24/IND348.DOCX")</f>
      </c>
    </row>
    <row r="1326">
      <c r="A1326" s="6" t="s">
        <v>3168</v>
      </c>
      <c r="B1326" s="7">
        <v>45586</v>
      </c>
      <c r="C1326" s="9">
        <f>HYPERLINK("https://eping.wto.org/en/Search?viewData= G/TBT/N/HND/104"," G/TBT/N/HND/104")</f>
      </c>
      <c r="D1326" s="8" t="s">
        <v>4314</v>
      </c>
      <c r="E1326" s="8" t="s">
        <v>4315</v>
      </c>
      <c r="F1326" s="8" t="s">
        <v>3991</v>
      </c>
      <c r="G1326" s="8" t="s">
        <v>22</v>
      </c>
      <c r="H1326" s="8" t="s">
        <v>838</v>
      </c>
      <c r="I1326" s="8" t="s">
        <v>380</v>
      </c>
      <c r="J1326" s="8" t="s">
        <v>22</v>
      </c>
      <c r="K1326" s="6"/>
      <c r="L1326" s="7">
        <v>45646</v>
      </c>
      <c r="M1326" s="6" t="s">
        <v>32</v>
      </c>
      <c r="N1326" s="8" t="s">
        <v>4368</v>
      </c>
      <c r="O1326" s="6">
        <f>HYPERLINK("https://docs.wto.org/imrd/directdoc.asp?DDFDocuments/t/G/TBTN24/HND104.DOCX", "https://docs.wto.org/imrd/directdoc.asp?DDFDocuments/t/G/TBTN24/HND104.DOCX")</f>
      </c>
      <c r="P1326" s="6">
        <f>HYPERLINK("https://docs.wto.org/imrd/directdoc.asp?DDFDocuments/u/G/TBTN24/HND104.DOCX", "https://docs.wto.org/imrd/directdoc.asp?DDFDocuments/u/G/TBTN24/HND104.DOCX")</f>
      </c>
      <c r="Q1326" s="6">
        <f>HYPERLINK("https://docs.wto.org/imrd/directdoc.asp?DDFDocuments/v/G/TBTN24/HND104.DOCX", "https://docs.wto.org/imrd/directdoc.asp?DDFDocuments/v/G/TBTN24/HND104.DOCX")</f>
      </c>
    </row>
    <row r="1327">
      <c r="A1327" s="6" t="s">
        <v>1989</v>
      </c>
      <c r="B1327" s="7">
        <v>45586</v>
      </c>
      <c r="C1327" s="9">
        <f>HYPERLINK("https://eping.wto.org/en/Search?viewData= G/SPS/N/TUR/149"," G/SPS/N/TUR/149")</f>
      </c>
      <c r="D1327" s="8" t="s">
        <v>4369</v>
      </c>
      <c r="E1327" s="8" t="s">
        <v>4370</v>
      </c>
      <c r="F1327" s="8" t="s">
        <v>4112</v>
      </c>
      <c r="G1327" s="8" t="s">
        <v>22</v>
      </c>
      <c r="H1327" s="8" t="s">
        <v>22</v>
      </c>
      <c r="I1327" s="8" t="s">
        <v>120</v>
      </c>
      <c r="J1327" s="8" t="s">
        <v>416</v>
      </c>
      <c r="K1327" s="6" t="s">
        <v>22</v>
      </c>
      <c r="L1327" s="7">
        <v>45646</v>
      </c>
      <c r="M1327" s="6" t="s">
        <v>32</v>
      </c>
      <c r="N1327" s="8" t="s">
        <v>4371</v>
      </c>
      <c r="O1327" s="6">
        <f>HYPERLINK("https://docs.wto.org/imrd/directdoc.asp?DDFDocuments/t/G/SPS/NTUR149.DOCX", "https://docs.wto.org/imrd/directdoc.asp?DDFDocuments/t/G/SPS/NTUR149.DOCX")</f>
      </c>
      <c r="P1327" s="6">
        <f>HYPERLINK("https://docs.wto.org/imrd/directdoc.asp?DDFDocuments/u/G/SPS/NTUR149.DOCX", "https://docs.wto.org/imrd/directdoc.asp?DDFDocuments/u/G/SPS/NTUR149.DOCX")</f>
      </c>
      <c r="Q1327" s="6">
        <f>HYPERLINK("https://docs.wto.org/imrd/directdoc.asp?DDFDocuments/v/G/SPS/NTUR149.DOCX", "https://docs.wto.org/imrd/directdoc.asp?DDFDocuments/v/G/SPS/NTUR149.DOCX")</f>
      </c>
    </row>
    <row r="1328">
      <c r="A1328" s="6" t="s">
        <v>53</v>
      </c>
      <c r="B1328" s="7">
        <v>45586</v>
      </c>
      <c r="C1328" s="9">
        <f>HYPERLINK("https://eping.wto.org/en/Search?viewData= G/TBT/N/BDI/240/Add.2, G/TBT/N/KEN/1259/Add.2, G/TBT/N/RWA/670/Add.2, G/TBT/N/TZA/780/Add.2, G/TBT/N/UGA/1593/Add.2"," G/TBT/N/BDI/240/Add.2, G/TBT/N/KEN/1259/Add.2, G/TBT/N/RWA/670/Add.2, G/TBT/N/TZA/780/Add.2, G/TBT/N/UGA/1593/Add.2")</f>
      </c>
      <c r="D1328" s="8" t="s">
        <v>4333</v>
      </c>
      <c r="E1328" s="8" t="s">
        <v>4334</v>
      </c>
      <c r="F1328" s="8" t="s">
        <v>4297</v>
      </c>
      <c r="G1328" s="8" t="s">
        <v>4298</v>
      </c>
      <c r="H1328" s="8" t="s">
        <v>4299</v>
      </c>
      <c r="I1328" s="8" t="s">
        <v>4335</v>
      </c>
      <c r="J1328" s="8" t="s">
        <v>4301</v>
      </c>
      <c r="K1328" s="6"/>
      <c r="L1328" s="7" t="s">
        <v>22</v>
      </c>
      <c r="M1328" s="6" t="s">
        <v>40</v>
      </c>
      <c r="N1328" s="6"/>
      <c r="O1328" s="6">
        <f>HYPERLINK("https://docs.wto.org/imrd/directdoc.asp?DDFDocuments/t/G/TBTN22/BDI240A2.DOCX", "https://docs.wto.org/imrd/directdoc.asp?DDFDocuments/t/G/TBTN22/BDI240A2.DOCX")</f>
      </c>
      <c r="P1328" s="6">
        <f>HYPERLINK("https://docs.wto.org/imrd/directdoc.asp?DDFDocuments/u/G/TBTN22/BDI240A2.DOCX", "https://docs.wto.org/imrd/directdoc.asp?DDFDocuments/u/G/TBTN22/BDI240A2.DOCX")</f>
      </c>
      <c r="Q1328" s="6">
        <f>HYPERLINK("https://docs.wto.org/imrd/directdoc.asp?DDFDocuments/v/G/TBTN22/BDI240A2.DOCX", "https://docs.wto.org/imrd/directdoc.asp?DDFDocuments/v/G/TBTN22/BDI240A2.DOCX")</f>
      </c>
    </row>
    <row r="1329">
      <c r="A1329" s="6" t="s">
        <v>49</v>
      </c>
      <c r="B1329" s="7">
        <v>45586</v>
      </c>
      <c r="C1329" s="9">
        <f>HYPERLINK("https://eping.wto.org/en/Search?viewData= G/TBT/N/BDI/272/Add.2, G/TBT/N/KEN/1300/Add.2, G/TBT/N/RWA/706/Add.2, G/TBT/N/TZA/825/Add.2, G/TBT/N/UGA/1680/Add.2"," G/TBT/N/BDI/272/Add.2, G/TBT/N/KEN/1300/Add.2, G/TBT/N/RWA/706/Add.2, G/TBT/N/TZA/825/Add.2, G/TBT/N/UGA/1680/Add.2")</f>
      </c>
      <c r="D1329" s="8" t="s">
        <v>4305</v>
      </c>
      <c r="E1329" s="8" t="s">
        <v>4306</v>
      </c>
      <c r="F1329" s="8" t="s">
        <v>4307</v>
      </c>
      <c r="G1329" s="8" t="s">
        <v>2193</v>
      </c>
      <c r="H1329" s="8" t="s">
        <v>2073</v>
      </c>
      <c r="I1329" s="8" t="s">
        <v>4308</v>
      </c>
      <c r="J1329" s="8" t="s">
        <v>761</v>
      </c>
      <c r="K1329" s="6"/>
      <c r="L1329" s="7" t="s">
        <v>22</v>
      </c>
      <c r="M1329" s="6" t="s">
        <v>40</v>
      </c>
      <c r="N1329" s="6"/>
      <c r="O1329" s="6">
        <f>HYPERLINK("https://docs.wto.org/imrd/directdoc.asp?DDFDocuments/t/G/TBTN22/BDI272A2.DOCX", "https://docs.wto.org/imrd/directdoc.asp?DDFDocuments/t/G/TBTN22/BDI272A2.DOCX")</f>
      </c>
      <c r="P1329" s="6">
        <f>HYPERLINK("https://docs.wto.org/imrd/directdoc.asp?DDFDocuments/u/G/TBTN22/BDI272A2.DOCX", "https://docs.wto.org/imrd/directdoc.asp?DDFDocuments/u/G/TBTN22/BDI272A2.DOCX")</f>
      </c>
      <c r="Q1329" s="6">
        <f>HYPERLINK("https://docs.wto.org/imrd/directdoc.asp?DDFDocuments/v/G/TBTN22/BDI272A2.DOCX", "https://docs.wto.org/imrd/directdoc.asp?DDFDocuments/v/G/TBTN22/BDI272A2.DOCX")</f>
      </c>
    </row>
    <row r="1330">
      <c r="A1330" s="6" t="s">
        <v>68</v>
      </c>
      <c r="B1330" s="7">
        <v>45586</v>
      </c>
      <c r="C1330" s="9">
        <f>HYPERLINK("https://eping.wto.org/en/Search?viewData= G/TBT/N/BDI/243/Add.3, G/TBT/N/KEN/1262/Add.3, G/TBT/N/RWA/673/Add.3, G/TBT/N/TZA/783/Add.3, G/TBT/N/UGA/1597/Add.3"," G/TBT/N/BDI/243/Add.3, G/TBT/N/KEN/1262/Add.3, G/TBT/N/RWA/673/Add.3, G/TBT/N/TZA/783/Add.3, G/TBT/N/UGA/1597/Add.3")</f>
      </c>
      <c r="D1330" s="8" t="s">
        <v>4284</v>
      </c>
      <c r="E1330" s="8" t="s">
        <v>4352</v>
      </c>
      <c r="F1330" s="8" t="s">
        <v>4286</v>
      </c>
      <c r="G1330" s="8" t="s">
        <v>4287</v>
      </c>
      <c r="H1330" s="8" t="s">
        <v>4288</v>
      </c>
      <c r="I1330" s="8" t="s">
        <v>4289</v>
      </c>
      <c r="J1330" s="8" t="s">
        <v>783</v>
      </c>
      <c r="K1330" s="6"/>
      <c r="L1330" s="7" t="s">
        <v>22</v>
      </c>
      <c r="M1330" s="6" t="s">
        <v>40</v>
      </c>
      <c r="N1330" s="6"/>
      <c r="O1330" s="6">
        <f>HYPERLINK("https://docs.wto.org/imrd/directdoc.asp?DDFDocuments/t/G/TBTN22/BDI243A3.DOCX", "https://docs.wto.org/imrd/directdoc.asp?DDFDocuments/t/G/TBTN22/BDI243A3.DOCX")</f>
      </c>
      <c r="P1330" s="6">
        <f>HYPERLINK("https://docs.wto.org/imrd/directdoc.asp?DDFDocuments/u/G/TBTN22/BDI243A3.DOCX", "https://docs.wto.org/imrd/directdoc.asp?DDFDocuments/u/G/TBTN22/BDI243A3.DOCX")</f>
      </c>
      <c r="Q1330" s="6">
        <f>HYPERLINK("https://docs.wto.org/imrd/directdoc.asp?DDFDocuments/v/G/TBTN22/BDI243A3.DOCX", "https://docs.wto.org/imrd/directdoc.asp?DDFDocuments/v/G/TBTN22/BDI243A3.DOCX")</f>
      </c>
    </row>
    <row r="1331">
      <c r="A1331" s="6" t="s">
        <v>68</v>
      </c>
      <c r="B1331" s="7">
        <v>45586</v>
      </c>
      <c r="C1331" s="9">
        <f>HYPERLINK("https://eping.wto.org/en/Search?viewData= G/TBT/N/BDI/237/Add.2, G/TBT/N/KEN/1256/Add.2, G/TBT/N/RWA/667/Add.2, G/TBT/N/TZA/777/Add.2, G/TBT/N/UGA/1590/Add.2"," G/TBT/N/BDI/237/Add.2, G/TBT/N/KEN/1256/Add.2, G/TBT/N/RWA/667/Add.2, G/TBT/N/TZA/777/Add.2, G/TBT/N/UGA/1590/Add.2")</f>
      </c>
      <c r="D1331" s="8" t="s">
        <v>4317</v>
      </c>
      <c r="E1331" s="8" t="s">
        <v>4318</v>
      </c>
      <c r="F1331" s="8" t="s">
        <v>4319</v>
      </c>
      <c r="G1331" s="8" t="s">
        <v>4320</v>
      </c>
      <c r="H1331" s="8" t="s">
        <v>4299</v>
      </c>
      <c r="I1331" s="8" t="s">
        <v>4355</v>
      </c>
      <c r="J1331" s="8" t="s">
        <v>4301</v>
      </c>
      <c r="K1331" s="6"/>
      <c r="L1331" s="7" t="s">
        <v>22</v>
      </c>
      <c r="M1331" s="6" t="s">
        <v>40</v>
      </c>
      <c r="N1331" s="6"/>
      <c r="O1331" s="6">
        <f>HYPERLINK("https://docs.wto.org/imrd/directdoc.asp?DDFDocuments/t/G/TBTN22/BDI237A2.DOCX", "https://docs.wto.org/imrd/directdoc.asp?DDFDocuments/t/G/TBTN22/BDI237A2.DOCX")</f>
      </c>
      <c r="P1331" s="6">
        <f>HYPERLINK("https://docs.wto.org/imrd/directdoc.asp?DDFDocuments/u/G/TBTN22/BDI237A2.DOCX", "https://docs.wto.org/imrd/directdoc.asp?DDFDocuments/u/G/TBTN22/BDI237A2.DOCX")</f>
      </c>
      <c r="Q1331" s="6">
        <f>HYPERLINK("https://docs.wto.org/imrd/directdoc.asp?DDFDocuments/v/G/TBTN22/BDI237A2.DOCX", "https://docs.wto.org/imrd/directdoc.asp?DDFDocuments/v/G/TBTN22/BDI237A2.DOCX")</f>
      </c>
    </row>
    <row r="1332">
      <c r="A1332" s="6" t="s">
        <v>26</v>
      </c>
      <c r="B1332" s="7">
        <v>45586</v>
      </c>
      <c r="C1332" s="9">
        <f>HYPERLINK("https://eping.wto.org/en/Search?viewData= G/TBT/N/RWA/1092"," G/TBT/N/RWA/1092")</f>
      </c>
      <c r="D1332" s="8" t="s">
        <v>4372</v>
      </c>
      <c r="E1332" s="8" t="s">
        <v>4373</v>
      </c>
      <c r="F1332" s="8" t="s">
        <v>4374</v>
      </c>
      <c r="G1332" s="8" t="s">
        <v>22</v>
      </c>
      <c r="H1332" s="8" t="s">
        <v>4375</v>
      </c>
      <c r="I1332" s="8" t="s">
        <v>4206</v>
      </c>
      <c r="J1332" s="8" t="s">
        <v>22</v>
      </c>
      <c r="K1332" s="6"/>
      <c r="L1332" s="7">
        <v>45646</v>
      </c>
      <c r="M1332" s="6" t="s">
        <v>32</v>
      </c>
      <c r="N1332" s="8" t="s">
        <v>4376</v>
      </c>
      <c r="O1332" s="6">
        <f>HYPERLINK("https://docs.wto.org/imrd/directdoc.asp?DDFDocuments/t/G/TBTN24/RWA1092.DOCX", "https://docs.wto.org/imrd/directdoc.asp?DDFDocuments/t/G/TBTN24/RWA1092.DOCX")</f>
      </c>
      <c r="P1332" s="6">
        <f>HYPERLINK("https://docs.wto.org/imrd/directdoc.asp?DDFDocuments/u/G/TBTN24/RWA1092.DOCX", "https://docs.wto.org/imrd/directdoc.asp?DDFDocuments/u/G/TBTN24/RWA1092.DOCX")</f>
      </c>
      <c r="Q1332" s="6">
        <f>HYPERLINK("https://docs.wto.org/imrd/directdoc.asp?DDFDocuments/v/G/TBTN24/RWA1092.DOCX", "https://docs.wto.org/imrd/directdoc.asp?DDFDocuments/v/G/TBTN24/RWA1092.DOCX")</f>
      </c>
    </row>
    <row r="1333">
      <c r="A1333" s="6" t="s">
        <v>53</v>
      </c>
      <c r="B1333" s="7">
        <v>45586</v>
      </c>
      <c r="C1333" s="9">
        <f>HYPERLINK("https://eping.wto.org/en/Search?viewData= G/TBT/N/BDI/242/Add.2, G/TBT/N/KEN/1261/Add.2, G/TBT/N/RWA/672/Add.2, G/TBT/N/TZA/782/Add.2, G/TBT/N/UGA/1595/Add.2"," G/TBT/N/BDI/242/Add.2, G/TBT/N/KEN/1261/Add.2, G/TBT/N/RWA/672/Add.2, G/TBT/N/TZA/782/Add.2, G/TBT/N/UGA/1595/Add.2")</f>
      </c>
      <c r="D1333" s="8" t="s">
        <v>4302</v>
      </c>
      <c r="E1333" s="8" t="s">
        <v>4303</v>
      </c>
      <c r="F1333" s="8" t="s">
        <v>4297</v>
      </c>
      <c r="G1333" s="8" t="s">
        <v>4298</v>
      </c>
      <c r="H1333" s="8" t="s">
        <v>4299</v>
      </c>
      <c r="I1333" s="8" t="s">
        <v>4304</v>
      </c>
      <c r="J1333" s="8" t="s">
        <v>4301</v>
      </c>
      <c r="K1333" s="6"/>
      <c r="L1333" s="7" t="s">
        <v>22</v>
      </c>
      <c r="M1333" s="6" t="s">
        <v>40</v>
      </c>
      <c r="N1333" s="6"/>
      <c r="O1333" s="6">
        <f>HYPERLINK("https://docs.wto.org/imrd/directdoc.asp?DDFDocuments/t/G/TBTN22/BDI242A2.DOCX", "https://docs.wto.org/imrd/directdoc.asp?DDFDocuments/t/G/TBTN22/BDI242A2.DOCX")</f>
      </c>
      <c r="P1333" s="6">
        <f>HYPERLINK("https://docs.wto.org/imrd/directdoc.asp?DDFDocuments/u/G/TBTN22/BDI242A2.DOCX", "https://docs.wto.org/imrd/directdoc.asp?DDFDocuments/u/G/TBTN22/BDI242A2.DOCX")</f>
      </c>
      <c r="Q1333" s="6">
        <f>HYPERLINK("https://docs.wto.org/imrd/directdoc.asp?DDFDocuments/v/G/TBTN22/BDI242A2.DOCX", "https://docs.wto.org/imrd/directdoc.asp?DDFDocuments/v/G/TBTN22/BDI242A2.DOCX")</f>
      </c>
    </row>
    <row r="1334">
      <c r="A1334" s="6" t="s">
        <v>26</v>
      </c>
      <c r="B1334" s="7">
        <v>45586</v>
      </c>
      <c r="C1334" s="9">
        <f>HYPERLINK("https://eping.wto.org/en/Search?viewData= G/TBT/N/BDI/239/Add.2, G/TBT/N/KEN/1258/Add.2, G/TBT/N/RWA/669/Add.2, G/TBT/N/TZA/779/Add.2, G/TBT/N/UGA/1592/Add.2"," G/TBT/N/BDI/239/Add.2, G/TBT/N/KEN/1258/Add.2, G/TBT/N/RWA/669/Add.2, G/TBT/N/TZA/779/Add.2, G/TBT/N/UGA/1592/Add.2")</f>
      </c>
      <c r="D1334" s="8" t="s">
        <v>4353</v>
      </c>
      <c r="E1334" s="8" t="s">
        <v>4354</v>
      </c>
      <c r="F1334" s="8" t="s">
        <v>4319</v>
      </c>
      <c r="G1334" s="8" t="s">
        <v>4320</v>
      </c>
      <c r="H1334" s="8" t="s">
        <v>4299</v>
      </c>
      <c r="I1334" s="8" t="s">
        <v>4304</v>
      </c>
      <c r="J1334" s="8" t="s">
        <v>4301</v>
      </c>
      <c r="K1334" s="6"/>
      <c r="L1334" s="7" t="s">
        <v>22</v>
      </c>
      <c r="M1334" s="6" t="s">
        <v>40</v>
      </c>
      <c r="N1334" s="6"/>
      <c r="O1334" s="6">
        <f>HYPERLINK("https://docs.wto.org/imrd/directdoc.asp?DDFDocuments/t/G/TBTN22/BDI239A2.DOCX", "https://docs.wto.org/imrd/directdoc.asp?DDFDocuments/t/G/TBTN22/BDI239A2.DOCX")</f>
      </c>
      <c r="P1334" s="6">
        <f>HYPERLINK("https://docs.wto.org/imrd/directdoc.asp?DDFDocuments/u/G/TBTN22/BDI239A2.DOCX", "https://docs.wto.org/imrd/directdoc.asp?DDFDocuments/u/G/TBTN22/BDI239A2.DOCX")</f>
      </c>
      <c r="Q1334" s="6">
        <f>HYPERLINK("https://docs.wto.org/imrd/directdoc.asp?DDFDocuments/v/G/TBTN22/BDI239A2.DOCX", "https://docs.wto.org/imrd/directdoc.asp?DDFDocuments/v/G/TBTN22/BDI239A2.DOCX")</f>
      </c>
    </row>
    <row r="1335">
      <c r="A1335" s="6" t="s">
        <v>53</v>
      </c>
      <c r="B1335" s="7">
        <v>45586</v>
      </c>
      <c r="C1335" s="9">
        <f>HYPERLINK("https://eping.wto.org/en/Search?viewData= G/TBT/N/BDI/243/Add.3, G/TBT/N/KEN/1262/Add.3, G/TBT/N/RWA/673/Add.3, G/TBT/N/TZA/783/Add.3, G/TBT/N/UGA/1597/Add.3"," G/TBT/N/BDI/243/Add.3, G/TBT/N/KEN/1262/Add.3, G/TBT/N/RWA/673/Add.3, G/TBT/N/TZA/783/Add.3, G/TBT/N/UGA/1597/Add.3")</f>
      </c>
      <c r="D1335" s="8" t="s">
        <v>4284</v>
      </c>
      <c r="E1335" s="8" t="s">
        <v>4352</v>
      </c>
      <c r="F1335" s="8" t="s">
        <v>4286</v>
      </c>
      <c r="G1335" s="8" t="s">
        <v>4287</v>
      </c>
      <c r="H1335" s="8" t="s">
        <v>4288</v>
      </c>
      <c r="I1335" s="8" t="s">
        <v>4351</v>
      </c>
      <c r="J1335" s="8" t="s">
        <v>783</v>
      </c>
      <c r="K1335" s="6"/>
      <c r="L1335" s="7" t="s">
        <v>22</v>
      </c>
      <c r="M1335" s="6" t="s">
        <v>40</v>
      </c>
      <c r="N1335" s="6"/>
      <c r="O1335" s="6">
        <f>HYPERLINK("https://docs.wto.org/imrd/directdoc.asp?DDFDocuments/t/G/TBTN22/BDI243A3.DOCX", "https://docs.wto.org/imrd/directdoc.asp?DDFDocuments/t/G/TBTN22/BDI243A3.DOCX")</f>
      </c>
      <c r="P1335" s="6">
        <f>HYPERLINK("https://docs.wto.org/imrd/directdoc.asp?DDFDocuments/u/G/TBTN22/BDI243A3.DOCX", "https://docs.wto.org/imrd/directdoc.asp?DDFDocuments/u/G/TBTN22/BDI243A3.DOCX")</f>
      </c>
      <c r="Q1335" s="6">
        <f>HYPERLINK("https://docs.wto.org/imrd/directdoc.asp?DDFDocuments/v/G/TBTN22/BDI243A3.DOCX", "https://docs.wto.org/imrd/directdoc.asp?DDFDocuments/v/G/TBTN22/BDI243A3.DOCX")</f>
      </c>
    </row>
    <row r="1336">
      <c r="A1336" s="6" t="s">
        <v>49</v>
      </c>
      <c r="B1336" s="7">
        <v>45586</v>
      </c>
      <c r="C1336" s="9">
        <f>HYPERLINK("https://eping.wto.org/en/Search?viewData= G/TBT/N/BDI/243/Add.3, G/TBT/N/KEN/1262/Add.3, G/TBT/N/RWA/673/Add.3, G/TBT/N/TZA/783/Add.3, G/TBT/N/UGA/1597/Add.3"," G/TBT/N/BDI/243/Add.3, G/TBT/N/KEN/1262/Add.3, G/TBT/N/RWA/673/Add.3, G/TBT/N/TZA/783/Add.3, G/TBT/N/UGA/1597/Add.3")</f>
      </c>
      <c r="D1336" s="8" t="s">
        <v>4284</v>
      </c>
      <c r="E1336" s="8" t="s">
        <v>4352</v>
      </c>
      <c r="F1336" s="8" t="s">
        <v>4286</v>
      </c>
      <c r="G1336" s="8" t="s">
        <v>4287</v>
      </c>
      <c r="H1336" s="8" t="s">
        <v>4288</v>
      </c>
      <c r="I1336" s="8" t="s">
        <v>4351</v>
      </c>
      <c r="J1336" s="8" t="s">
        <v>783</v>
      </c>
      <c r="K1336" s="6"/>
      <c r="L1336" s="7" t="s">
        <v>22</v>
      </c>
      <c r="M1336" s="6" t="s">
        <v>40</v>
      </c>
      <c r="N1336" s="6"/>
      <c r="O1336" s="6">
        <f>HYPERLINK("https://docs.wto.org/imrd/directdoc.asp?DDFDocuments/t/G/TBTN22/BDI243A3.DOCX", "https://docs.wto.org/imrd/directdoc.asp?DDFDocuments/t/G/TBTN22/BDI243A3.DOCX")</f>
      </c>
      <c r="P1336" s="6">
        <f>HYPERLINK("https://docs.wto.org/imrd/directdoc.asp?DDFDocuments/u/G/TBTN22/BDI243A3.DOCX", "https://docs.wto.org/imrd/directdoc.asp?DDFDocuments/u/G/TBTN22/BDI243A3.DOCX")</f>
      </c>
      <c r="Q1336" s="6">
        <f>HYPERLINK("https://docs.wto.org/imrd/directdoc.asp?DDFDocuments/v/G/TBTN22/BDI243A3.DOCX", "https://docs.wto.org/imrd/directdoc.asp?DDFDocuments/v/G/TBTN22/BDI243A3.DOCX")</f>
      </c>
    </row>
    <row r="1337">
      <c r="A1337" s="6" t="s">
        <v>496</v>
      </c>
      <c r="B1337" s="7">
        <v>45586</v>
      </c>
      <c r="C1337" s="9">
        <f>HYPERLINK("https://eping.wto.org/en/Search?viewData= G/TBT/N/GBR/93"," G/TBT/N/GBR/93")</f>
      </c>
      <c r="D1337" s="8" t="s">
        <v>4377</v>
      </c>
      <c r="E1337" s="8" t="s">
        <v>4378</v>
      </c>
      <c r="F1337" s="8" t="s">
        <v>4379</v>
      </c>
      <c r="G1337" s="8" t="s">
        <v>4380</v>
      </c>
      <c r="H1337" s="8" t="s">
        <v>4381</v>
      </c>
      <c r="I1337" s="8" t="s">
        <v>4382</v>
      </c>
      <c r="J1337" s="8" t="s">
        <v>22</v>
      </c>
      <c r="K1337" s="6"/>
      <c r="L1337" s="7">
        <v>45646</v>
      </c>
      <c r="M1337" s="6" t="s">
        <v>32</v>
      </c>
      <c r="N1337" s="8" t="s">
        <v>4383</v>
      </c>
      <c r="O1337" s="6">
        <f>HYPERLINK("https://docs.wto.org/imrd/directdoc.asp?DDFDocuments/t/G/TBTN24/GBR93.DOCX", "https://docs.wto.org/imrd/directdoc.asp?DDFDocuments/t/G/TBTN24/GBR93.DOCX")</f>
      </c>
      <c r="P1337" s="6">
        <f>HYPERLINK("https://docs.wto.org/imrd/directdoc.asp?DDFDocuments/u/G/TBTN24/GBR93.DOCX", "https://docs.wto.org/imrd/directdoc.asp?DDFDocuments/u/G/TBTN24/GBR93.DOCX")</f>
      </c>
      <c r="Q1337" s="6">
        <f>HYPERLINK("https://docs.wto.org/imrd/directdoc.asp?DDFDocuments/v/G/TBTN24/GBR93.DOCX", "https://docs.wto.org/imrd/directdoc.asp?DDFDocuments/v/G/TBTN24/GBR93.DOCX")</f>
      </c>
    </row>
    <row r="1338">
      <c r="A1338" s="6" t="s">
        <v>513</v>
      </c>
      <c r="B1338" s="7">
        <v>45586</v>
      </c>
      <c r="C1338" s="9">
        <f>HYPERLINK("https://eping.wto.org/en/Search?viewData= G/TBT/N/IND/233/Add.1"," G/TBT/N/IND/233/Add.1")</f>
      </c>
      <c r="D1338" s="8" t="s">
        <v>4384</v>
      </c>
      <c r="E1338" s="8" t="s">
        <v>4385</v>
      </c>
      <c r="F1338" s="8" t="s">
        <v>4386</v>
      </c>
      <c r="G1338" s="8" t="s">
        <v>4387</v>
      </c>
      <c r="H1338" s="8" t="s">
        <v>22</v>
      </c>
      <c r="I1338" s="8" t="s">
        <v>138</v>
      </c>
      <c r="J1338" s="8" t="s">
        <v>81</v>
      </c>
      <c r="K1338" s="6"/>
      <c r="L1338" s="7" t="s">
        <v>22</v>
      </c>
      <c r="M1338" s="6" t="s">
        <v>40</v>
      </c>
      <c r="N1338" s="8" t="s">
        <v>4388</v>
      </c>
      <c r="O1338" s="6">
        <f>HYPERLINK("https://docs.wto.org/imrd/directdoc.asp?DDFDocuments/t/G/TBTN22/IND233A1.DOCX", "https://docs.wto.org/imrd/directdoc.asp?DDFDocuments/t/G/TBTN22/IND233A1.DOCX")</f>
      </c>
      <c r="P1338" s="6">
        <f>HYPERLINK("https://docs.wto.org/imrd/directdoc.asp?DDFDocuments/u/G/TBTN22/IND233A1.DOCX", "https://docs.wto.org/imrd/directdoc.asp?DDFDocuments/u/G/TBTN22/IND233A1.DOCX")</f>
      </c>
      <c r="Q1338" s="6">
        <f>HYPERLINK("https://docs.wto.org/imrd/directdoc.asp?DDFDocuments/v/G/TBTN22/IND233A1.DOCX", "https://docs.wto.org/imrd/directdoc.asp?DDFDocuments/v/G/TBTN22/IND233A1.DOCX")</f>
      </c>
    </row>
    <row r="1339">
      <c r="A1339" s="6" t="s">
        <v>400</v>
      </c>
      <c r="B1339" s="7">
        <v>45586</v>
      </c>
      <c r="C1339" s="9">
        <f>HYPERLINK("https://eping.wto.org/en/Search?viewData= G/TBT/N/USA/863/Add.6"," G/TBT/N/USA/863/Add.6")</f>
      </c>
      <c r="D1339" s="8" t="s">
        <v>4389</v>
      </c>
      <c r="E1339" s="8" t="s">
        <v>4390</v>
      </c>
      <c r="F1339" s="8" t="s">
        <v>4391</v>
      </c>
      <c r="G1339" s="8" t="s">
        <v>4392</v>
      </c>
      <c r="H1339" s="8" t="s">
        <v>4393</v>
      </c>
      <c r="I1339" s="8" t="s">
        <v>619</v>
      </c>
      <c r="J1339" s="8" t="s">
        <v>22</v>
      </c>
      <c r="K1339" s="6"/>
      <c r="L1339" s="7" t="s">
        <v>22</v>
      </c>
      <c r="M1339" s="6" t="s">
        <v>40</v>
      </c>
      <c r="N1339" s="8" t="s">
        <v>4394</v>
      </c>
      <c r="O1339" s="6">
        <f>HYPERLINK("https://docs.wto.org/imrd/directdoc.asp?DDFDocuments/t/G/TBTN13/USA863A6.DOCX", "https://docs.wto.org/imrd/directdoc.asp?DDFDocuments/t/G/TBTN13/USA863A6.DOCX")</f>
      </c>
      <c r="P1339" s="6">
        <f>HYPERLINK("https://docs.wto.org/imrd/directdoc.asp?DDFDocuments/u/G/TBTN13/USA863A6.DOCX", "https://docs.wto.org/imrd/directdoc.asp?DDFDocuments/u/G/TBTN13/USA863A6.DOCX")</f>
      </c>
      <c r="Q1339" s="6">
        <f>HYPERLINK("https://docs.wto.org/imrd/directdoc.asp?DDFDocuments/v/G/TBTN13/USA863A6.DOCX", "https://docs.wto.org/imrd/directdoc.asp?DDFDocuments/v/G/TBTN13/USA863A6.DOCX")</f>
      </c>
    </row>
    <row r="1340">
      <c r="A1340" s="6" t="s">
        <v>26</v>
      </c>
      <c r="B1340" s="7">
        <v>45586</v>
      </c>
      <c r="C1340" s="9">
        <f>HYPERLINK("https://eping.wto.org/en/Search?viewData= G/TBT/N/BDI/238/Add.2, G/TBT/N/KEN/1257/Add.2, G/TBT/N/RWA/668/Add.2, G/TBT/N/TZA/778/Add.2, G/TBT/N/UGA/1591/Add.2"," G/TBT/N/BDI/238/Add.2, G/TBT/N/KEN/1257/Add.2, G/TBT/N/RWA/668/Add.2, G/TBT/N/TZA/778/Add.2, G/TBT/N/UGA/1591/Add.2")</f>
      </c>
      <c r="D1340" s="8" t="s">
        <v>4342</v>
      </c>
      <c r="E1340" s="8" t="s">
        <v>4343</v>
      </c>
      <c r="F1340" s="8" t="s">
        <v>4297</v>
      </c>
      <c r="G1340" s="8" t="s">
        <v>4298</v>
      </c>
      <c r="H1340" s="8" t="s">
        <v>4299</v>
      </c>
      <c r="I1340" s="8" t="s">
        <v>4361</v>
      </c>
      <c r="J1340" s="8" t="s">
        <v>4301</v>
      </c>
      <c r="K1340" s="6"/>
      <c r="L1340" s="7" t="s">
        <v>22</v>
      </c>
      <c r="M1340" s="6" t="s">
        <v>40</v>
      </c>
      <c r="N1340" s="6"/>
      <c r="O1340" s="6">
        <f>HYPERLINK("https://docs.wto.org/imrd/directdoc.asp?DDFDocuments/t/G/TBTN22/BDI238A2.DOCX", "https://docs.wto.org/imrd/directdoc.asp?DDFDocuments/t/G/TBTN22/BDI238A2.DOCX")</f>
      </c>
      <c r="P1340" s="6">
        <f>HYPERLINK("https://docs.wto.org/imrd/directdoc.asp?DDFDocuments/u/G/TBTN22/BDI238A2.DOCX", "https://docs.wto.org/imrd/directdoc.asp?DDFDocuments/u/G/TBTN22/BDI238A2.DOCX")</f>
      </c>
      <c r="Q1340" s="6">
        <f>HYPERLINK("https://docs.wto.org/imrd/directdoc.asp?DDFDocuments/v/G/TBTN22/BDI238A2.DOCX", "https://docs.wto.org/imrd/directdoc.asp?DDFDocuments/v/G/TBTN22/BDI238A2.DOCX")</f>
      </c>
    </row>
    <row r="1341">
      <c r="A1341" s="6" t="s">
        <v>49</v>
      </c>
      <c r="B1341" s="7">
        <v>45586</v>
      </c>
      <c r="C1341" s="9">
        <f>HYPERLINK("https://eping.wto.org/en/Search?viewData= G/TBT/N/BDI/238/Add.2, G/TBT/N/KEN/1257/Add.2, G/TBT/N/RWA/668/Add.2, G/TBT/N/TZA/778/Add.2, G/TBT/N/UGA/1591/Add.2"," G/TBT/N/BDI/238/Add.2, G/TBT/N/KEN/1257/Add.2, G/TBT/N/RWA/668/Add.2, G/TBT/N/TZA/778/Add.2, G/TBT/N/UGA/1591/Add.2")</f>
      </c>
      <c r="D1341" s="8" t="s">
        <v>4342</v>
      </c>
      <c r="E1341" s="8" t="s">
        <v>4343</v>
      </c>
      <c r="F1341" s="8" t="s">
        <v>4297</v>
      </c>
      <c r="G1341" s="8" t="s">
        <v>4298</v>
      </c>
      <c r="H1341" s="8" t="s">
        <v>4299</v>
      </c>
      <c r="I1341" s="8" t="s">
        <v>4361</v>
      </c>
      <c r="J1341" s="8" t="s">
        <v>4301</v>
      </c>
      <c r="K1341" s="6"/>
      <c r="L1341" s="7" t="s">
        <v>22</v>
      </c>
      <c r="M1341" s="6" t="s">
        <v>40</v>
      </c>
      <c r="N1341" s="6"/>
      <c r="O1341" s="6">
        <f>HYPERLINK("https://docs.wto.org/imrd/directdoc.asp?DDFDocuments/t/G/TBTN22/BDI238A2.DOCX", "https://docs.wto.org/imrd/directdoc.asp?DDFDocuments/t/G/TBTN22/BDI238A2.DOCX")</f>
      </c>
      <c r="P1341" s="6">
        <f>HYPERLINK("https://docs.wto.org/imrd/directdoc.asp?DDFDocuments/u/G/TBTN22/BDI238A2.DOCX", "https://docs.wto.org/imrd/directdoc.asp?DDFDocuments/u/G/TBTN22/BDI238A2.DOCX")</f>
      </c>
      <c r="Q1341" s="6">
        <f>HYPERLINK("https://docs.wto.org/imrd/directdoc.asp?DDFDocuments/v/G/TBTN22/BDI238A2.DOCX", "https://docs.wto.org/imrd/directdoc.asp?DDFDocuments/v/G/TBTN22/BDI238A2.DOCX")</f>
      </c>
    </row>
    <row r="1342">
      <c r="A1342" s="6" t="s">
        <v>49</v>
      </c>
      <c r="B1342" s="7">
        <v>45586</v>
      </c>
      <c r="C1342" s="9">
        <f>HYPERLINK("https://eping.wto.org/en/Search?viewData= G/TBT/N/BDI/237/Add.2, G/TBT/N/KEN/1256/Add.2, G/TBT/N/RWA/667/Add.2, G/TBT/N/TZA/777/Add.2, G/TBT/N/UGA/1590/Add.2"," G/TBT/N/BDI/237/Add.2, G/TBT/N/KEN/1256/Add.2, G/TBT/N/RWA/667/Add.2, G/TBT/N/TZA/777/Add.2, G/TBT/N/UGA/1590/Add.2")</f>
      </c>
      <c r="D1342" s="8" t="s">
        <v>4317</v>
      </c>
      <c r="E1342" s="8" t="s">
        <v>4318</v>
      </c>
      <c r="F1342" s="8" t="s">
        <v>4319</v>
      </c>
      <c r="G1342" s="8" t="s">
        <v>4320</v>
      </c>
      <c r="H1342" s="8" t="s">
        <v>4299</v>
      </c>
      <c r="I1342" s="8" t="s">
        <v>4304</v>
      </c>
      <c r="J1342" s="8" t="s">
        <v>4301</v>
      </c>
      <c r="K1342" s="6"/>
      <c r="L1342" s="7" t="s">
        <v>22</v>
      </c>
      <c r="M1342" s="6" t="s">
        <v>40</v>
      </c>
      <c r="N1342" s="6"/>
      <c r="O1342" s="6">
        <f>HYPERLINK("https://docs.wto.org/imrd/directdoc.asp?DDFDocuments/t/G/TBTN22/BDI237A2.DOCX", "https://docs.wto.org/imrd/directdoc.asp?DDFDocuments/t/G/TBTN22/BDI237A2.DOCX")</f>
      </c>
      <c r="P1342" s="6">
        <f>HYPERLINK("https://docs.wto.org/imrd/directdoc.asp?DDFDocuments/u/G/TBTN22/BDI237A2.DOCX", "https://docs.wto.org/imrd/directdoc.asp?DDFDocuments/u/G/TBTN22/BDI237A2.DOCX")</f>
      </c>
      <c r="Q1342" s="6">
        <f>HYPERLINK("https://docs.wto.org/imrd/directdoc.asp?DDFDocuments/v/G/TBTN22/BDI237A2.DOCX", "https://docs.wto.org/imrd/directdoc.asp?DDFDocuments/v/G/TBTN22/BDI237A2.DOCX")</f>
      </c>
    </row>
    <row r="1343">
      <c r="A1343" s="6" t="s">
        <v>68</v>
      </c>
      <c r="B1343" s="7">
        <v>45586</v>
      </c>
      <c r="C1343" s="9">
        <f>HYPERLINK("https://eping.wto.org/en/Search?viewData= G/TBT/N/BDI/240/Add.2, G/TBT/N/KEN/1259/Add.2, G/TBT/N/RWA/670/Add.2, G/TBT/N/TZA/780/Add.2, G/TBT/N/UGA/1593/Add.2"," G/TBT/N/BDI/240/Add.2, G/TBT/N/KEN/1259/Add.2, G/TBT/N/RWA/670/Add.2, G/TBT/N/TZA/780/Add.2, G/TBT/N/UGA/1593/Add.2")</f>
      </c>
      <c r="D1343" s="8" t="s">
        <v>4333</v>
      </c>
      <c r="E1343" s="8" t="s">
        <v>4334</v>
      </c>
      <c r="F1343" s="8" t="s">
        <v>4297</v>
      </c>
      <c r="G1343" s="8" t="s">
        <v>4298</v>
      </c>
      <c r="H1343" s="8" t="s">
        <v>4299</v>
      </c>
      <c r="I1343" s="8" t="s">
        <v>4395</v>
      </c>
      <c r="J1343" s="8" t="s">
        <v>4301</v>
      </c>
      <c r="K1343" s="6"/>
      <c r="L1343" s="7" t="s">
        <v>22</v>
      </c>
      <c r="M1343" s="6" t="s">
        <v>40</v>
      </c>
      <c r="N1343" s="6"/>
      <c r="O1343" s="6">
        <f>HYPERLINK("https://docs.wto.org/imrd/directdoc.asp?DDFDocuments/t/G/TBTN22/BDI240A2.DOCX", "https://docs.wto.org/imrd/directdoc.asp?DDFDocuments/t/G/TBTN22/BDI240A2.DOCX")</f>
      </c>
      <c r="P1343" s="6">
        <f>HYPERLINK("https://docs.wto.org/imrd/directdoc.asp?DDFDocuments/u/G/TBTN22/BDI240A2.DOCX", "https://docs.wto.org/imrd/directdoc.asp?DDFDocuments/u/G/TBTN22/BDI240A2.DOCX")</f>
      </c>
      <c r="Q1343" s="6">
        <f>HYPERLINK("https://docs.wto.org/imrd/directdoc.asp?DDFDocuments/v/G/TBTN22/BDI240A2.DOCX", "https://docs.wto.org/imrd/directdoc.asp?DDFDocuments/v/G/TBTN22/BDI240A2.DOCX")</f>
      </c>
    </row>
    <row r="1344">
      <c r="A1344" s="6" t="s">
        <v>68</v>
      </c>
      <c r="B1344" s="7">
        <v>45586</v>
      </c>
      <c r="C1344" s="9">
        <f>HYPERLINK("https://eping.wto.org/en/Search?viewData= G/TBT/N/BDI/242/Add.2, G/TBT/N/KEN/1261/Add.2, G/TBT/N/RWA/672/Add.2, G/TBT/N/TZA/782/Add.2, G/TBT/N/UGA/1595/Add.2"," G/TBT/N/BDI/242/Add.2, G/TBT/N/KEN/1261/Add.2, G/TBT/N/RWA/672/Add.2, G/TBT/N/TZA/782/Add.2, G/TBT/N/UGA/1595/Add.2")</f>
      </c>
      <c r="D1344" s="8" t="s">
        <v>4302</v>
      </c>
      <c r="E1344" s="8" t="s">
        <v>4303</v>
      </c>
      <c r="F1344" s="8" t="s">
        <v>4297</v>
      </c>
      <c r="G1344" s="8" t="s">
        <v>4298</v>
      </c>
      <c r="H1344" s="8" t="s">
        <v>4299</v>
      </c>
      <c r="I1344" s="8" t="s">
        <v>4355</v>
      </c>
      <c r="J1344" s="8" t="s">
        <v>4301</v>
      </c>
      <c r="K1344" s="6"/>
      <c r="L1344" s="7" t="s">
        <v>22</v>
      </c>
      <c r="M1344" s="6" t="s">
        <v>40</v>
      </c>
      <c r="N1344" s="6"/>
      <c r="O1344" s="6">
        <f>HYPERLINK("https://docs.wto.org/imrd/directdoc.asp?DDFDocuments/t/G/TBTN22/BDI242A2.DOCX", "https://docs.wto.org/imrd/directdoc.asp?DDFDocuments/t/G/TBTN22/BDI242A2.DOCX")</f>
      </c>
      <c r="P1344" s="6">
        <f>HYPERLINK("https://docs.wto.org/imrd/directdoc.asp?DDFDocuments/u/G/TBTN22/BDI242A2.DOCX", "https://docs.wto.org/imrd/directdoc.asp?DDFDocuments/u/G/TBTN22/BDI242A2.DOCX")</f>
      </c>
      <c r="Q1344" s="6">
        <f>HYPERLINK("https://docs.wto.org/imrd/directdoc.asp?DDFDocuments/v/G/TBTN22/BDI242A2.DOCX", "https://docs.wto.org/imrd/directdoc.asp?DDFDocuments/v/G/TBTN22/BDI242A2.DOCX")</f>
      </c>
    </row>
    <row r="1345">
      <c r="A1345" s="6" t="s">
        <v>49</v>
      </c>
      <c r="B1345" s="7">
        <v>45586</v>
      </c>
      <c r="C1345" s="9">
        <f>HYPERLINK("https://eping.wto.org/en/Search?viewData= G/TBT/N/BDI/240/Add.2, G/TBT/N/KEN/1259/Add.2, G/TBT/N/RWA/670/Add.2, G/TBT/N/TZA/780/Add.2, G/TBT/N/UGA/1593/Add.2"," G/TBT/N/BDI/240/Add.2, G/TBT/N/KEN/1259/Add.2, G/TBT/N/RWA/670/Add.2, G/TBT/N/TZA/780/Add.2, G/TBT/N/UGA/1593/Add.2")</f>
      </c>
      <c r="D1345" s="8" t="s">
        <v>4333</v>
      </c>
      <c r="E1345" s="8" t="s">
        <v>4334</v>
      </c>
      <c r="F1345" s="8" t="s">
        <v>4297</v>
      </c>
      <c r="G1345" s="8" t="s">
        <v>4298</v>
      </c>
      <c r="H1345" s="8" t="s">
        <v>4299</v>
      </c>
      <c r="I1345" s="8" t="s">
        <v>4335</v>
      </c>
      <c r="J1345" s="8" t="s">
        <v>4301</v>
      </c>
      <c r="K1345" s="6"/>
      <c r="L1345" s="7" t="s">
        <v>22</v>
      </c>
      <c r="M1345" s="6" t="s">
        <v>40</v>
      </c>
      <c r="N1345" s="6"/>
      <c r="O1345" s="6">
        <f>HYPERLINK("https://docs.wto.org/imrd/directdoc.asp?DDFDocuments/t/G/TBTN22/BDI240A2.DOCX", "https://docs.wto.org/imrd/directdoc.asp?DDFDocuments/t/G/TBTN22/BDI240A2.DOCX")</f>
      </c>
      <c r="P1345" s="6">
        <f>HYPERLINK("https://docs.wto.org/imrd/directdoc.asp?DDFDocuments/u/G/TBTN22/BDI240A2.DOCX", "https://docs.wto.org/imrd/directdoc.asp?DDFDocuments/u/G/TBTN22/BDI240A2.DOCX")</f>
      </c>
      <c r="Q1345" s="6">
        <f>HYPERLINK("https://docs.wto.org/imrd/directdoc.asp?DDFDocuments/v/G/TBTN22/BDI240A2.DOCX", "https://docs.wto.org/imrd/directdoc.asp?DDFDocuments/v/G/TBTN22/BDI240A2.DOCX")</f>
      </c>
    </row>
    <row r="1346">
      <c r="A1346" s="6" t="s">
        <v>53</v>
      </c>
      <c r="B1346" s="7">
        <v>45586</v>
      </c>
      <c r="C1346" s="9">
        <f>HYPERLINK("https://eping.wto.org/en/Search?viewData= G/TBT/N/BDI/241/Add.1, G/TBT/N/KEN/1260/Add.1, G/TBT/N/RWA/671/Add.1, G/TBT/N/TZA/781/Add.1, G/TBT/N/UGA/1594/Add.1"," G/TBT/N/BDI/241/Add.1, G/TBT/N/KEN/1260/Add.1, G/TBT/N/RWA/671/Add.1, G/TBT/N/TZA/781/Add.1, G/TBT/N/UGA/1594/Add.1")</f>
      </c>
      <c r="D1346" s="8" t="s">
        <v>4295</v>
      </c>
      <c r="E1346" s="8" t="s">
        <v>4296</v>
      </c>
      <c r="F1346" s="8" t="s">
        <v>4297</v>
      </c>
      <c r="G1346" s="8" t="s">
        <v>4298</v>
      </c>
      <c r="H1346" s="8" t="s">
        <v>4299</v>
      </c>
      <c r="I1346" s="8" t="s">
        <v>4300</v>
      </c>
      <c r="J1346" s="8" t="s">
        <v>4301</v>
      </c>
      <c r="K1346" s="6"/>
      <c r="L1346" s="7" t="s">
        <v>22</v>
      </c>
      <c r="M1346" s="6" t="s">
        <v>40</v>
      </c>
      <c r="N1346" s="6"/>
      <c r="O1346" s="6">
        <f>HYPERLINK("https://docs.wto.org/imrd/directdoc.asp?DDFDocuments/t/G/TBTN22/BDI241A1.DOCX", "https://docs.wto.org/imrd/directdoc.asp?DDFDocuments/t/G/TBTN22/BDI241A1.DOCX")</f>
      </c>
      <c r="P1346" s="6">
        <f>HYPERLINK("https://docs.wto.org/imrd/directdoc.asp?DDFDocuments/u/G/TBTN22/BDI241A1.DOCX", "https://docs.wto.org/imrd/directdoc.asp?DDFDocuments/u/G/TBTN22/BDI241A1.DOCX")</f>
      </c>
      <c r="Q1346" s="6">
        <f>HYPERLINK("https://docs.wto.org/imrd/directdoc.asp?DDFDocuments/v/G/TBTN22/BDI241A1.DOCX", "https://docs.wto.org/imrd/directdoc.asp?DDFDocuments/v/G/TBTN22/BDI241A1.DOCX")</f>
      </c>
    </row>
    <row r="1347">
      <c r="A1347" s="6" t="s">
        <v>26</v>
      </c>
      <c r="B1347" s="7">
        <v>45586</v>
      </c>
      <c r="C1347" s="9">
        <f>HYPERLINK("https://eping.wto.org/en/Search?viewData= G/TBT/N/BDI/241/Add.1, G/TBT/N/KEN/1260/Add.1, G/TBT/N/RWA/671/Add.1, G/TBT/N/TZA/781/Add.1, G/TBT/N/UGA/1594/Add.1"," G/TBT/N/BDI/241/Add.1, G/TBT/N/KEN/1260/Add.1, G/TBT/N/RWA/671/Add.1, G/TBT/N/TZA/781/Add.1, G/TBT/N/UGA/1594/Add.1")</f>
      </c>
      <c r="D1347" s="8" t="s">
        <v>4295</v>
      </c>
      <c r="E1347" s="8" t="s">
        <v>4296</v>
      </c>
      <c r="F1347" s="8" t="s">
        <v>4297</v>
      </c>
      <c r="G1347" s="8" t="s">
        <v>4298</v>
      </c>
      <c r="H1347" s="8" t="s">
        <v>4299</v>
      </c>
      <c r="I1347" s="8" t="s">
        <v>4300</v>
      </c>
      <c r="J1347" s="8" t="s">
        <v>4301</v>
      </c>
      <c r="K1347" s="6"/>
      <c r="L1347" s="7" t="s">
        <v>22</v>
      </c>
      <c r="M1347" s="6" t="s">
        <v>40</v>
      </c>
      <c r="N1347" s="6"/>
      <c r="O1347" s="6">
        <f>HYPERLINK("https://docs.wto.org/imrd/directdoc.asp?DDFDocuments/t/G/TBTN22/BDI241A1.DOCX", "https://docs.wto.org/imrd/directdoc.asp?DDFDocuments/t/G/TBTN22/BDI241A1.DOCX")</f>
      </c>
      <c r="P1347" s="6">
        <f>HYPERLINK("https://docs.wto.org/imrd/directdoc.asp?DDFDocuments/u/G/TBTN22/BDI241A1.DOCX", "https://docs.wto.org/imrd/directdoc.asp?DDFDocuments/u/G/TBTN22/BDI241A1.DOCX")</f>
      </c>
      <c r="Q1347" s="6">
        <f>HYPERLINK("https://docs.wto.org/imrd/directdoc.asp?DDFDocuments/v/G/TBTN22/BDI241A1.DOCX", "https://docs.wto.org/imrd/directdoc.asp?DDFDocuments/v/G/TBTN22/BDI241A1.DOCX")</f>
      </c>
    </row>
    <row r="1348">
      <c r="A1348" s="6" t="s">
        <v>60</v>
      </c>
      <c r="B1348" s="7">
        <v>45586</v>
      </c>
      <c r="C1348" s="9">
        <f>HYPERLINK("https://eping.wto.org/en/Search?viewData= G/TBT/N/BDI/239/Add.2, G/TBT/N/KEN/1258/Add.2, G/TBT/N/RWA/669/Add.2, G/TBT/N/TZA/779/Add.2, G/TBT/N/UGA/1592/Add.2"," G/TBT/N/BDI/239/Add.2, G/TBT/N/KEN/1258/Add.2, G/TBT/N/RWA/669/Add.2, G/TBT/N/TZA/779/Add.2, G/TBT/N/UGA/1592/Add.2")</f>
      </c>
      <c r="D1348" s="8" t="s">
        <v>4353</v>
      </c>
      <c r="E1348" s="8" t="s">
        <v>4354</v>
      </c>
      <c r="F1348" s="8" t="s">
        <v>4319</v>
      </c>
      <c r="G1348" s="8" t="s">
        <v>4320</v>
      </c>
      <c r="H1348" s="8" t="s">
        <v>4299</v>
      </c>
      <c r="I1348" s="8" t="s">
        <v>4304</v>
      </c>
      <c r="J1348" s="8" t="s">
        <v>4301</v>
      </c>
      <c r="K1348" s="6"/>
      <c r="L1348" s="7" t="s">
        <v>22</v>
      </c>
      <c r="M1348" s="6" t="s">
        <v>40</v>
      </c>
      <c r="N1348" s="6"/>
      <c r="O1348" s="6">
        <f>HYPERLINK("https://docs.wto.org/imrd/directdoc.asp?DDFDocuments/t/G/TBTN22/BDI239A2.DOCX", "https://docs.wto.org/imrd/directdoc.asp?DDFDocuments/t/G/TBTN22/BDI239A2.DOCX")</f>
      </c>
      <c r="P1348" s="6">
        <f>HYPERLINK("https://docs.wto.org/imrd/directdoc.asp?DDFDocuments/u/G/TBTN22/BDI239A2.DOCX", "https://docs.wto.org/imrd/directdoc.asp?DDFDocuments/u/G/TBTN22/BDI239A2.DOCX")</f>
      </c>
      <c r="Q1348" s="6">
        <f>HYPERLINK("https://docs.wto.org/imrd/directdoc.asp?DDFDocuments/v/G/TBTN22/BDI239A2.DOCX", "https://docs.wto.org/imrd/directdoc.asp?DDFDocuments/v/G/TBTN22/BDI239A2.DOCX")</f>
      </c>
    </row>
    <row r="1349">
      <c r="A1349" s="6" t="s">
        <v>976</v>
      </c>
      <c r="B1349" s="7">
        <v>45586</v>
      </c>
      <c r="C1349" s="9">
        <f>HYPERLINK("https://eping.wto.org/en/Search?viewData= G/TBT/N/ARE/627, G/TBT/N/BHR/711, G/TBT/N/KWT/691, G/TBT/N/OMN/535, G/TBT/N/QAT/686, G/TBT/N/SAU/1356, G/TBT/N/YEM/292"," G/TBT/N/ARE/627, G/TBT/N/BHR/711, G/TBT/N/KWT/691, G/TBT/N/OMN/535, G/TBT/N/QAT/686, G/TBT/N/SAU/1356, G/TBT/N/YEM/292")</f>
      </c>
      <c r="D1349" s="8" t="s">
        <v>4345</v>
      </c>
      <c r="E1349" s="8" t="s">
        <v>4346</v>
      </c>
      <c r="F1349" s="8" t="s">
        <v>2097</v>
      </c>
      <c r="G1349" s="8" t="s">
        <v>4347</v>
      </c>
      <c r="H1349" s="8" t="s">
        <v>4348</v>
      </c>
      <c r="I1349" s="8" t="s">
        <v>823</v>
      </c>
      <c r="J1349" s="8" t="s">
        <v>58</v>
      </c>
      <c r="K1349" s="6"/>
      <c r="L1349" s="7">
        <v>45646</v>
      </c>
      <c r="M1349" s="6" t="s">
        <v>32</v>
      </c>
      <c r="N1349" s="8" t="s">
        <v>4349</v>
      </c>
      <c r="O1349" s="6">
        <f>HYPERLINK("https://docs.wto.org/imrd/directdoc.asp?DDFDocuments/t/G/TBTN24/ARE627.DOCX", "https://docs.wto.org/imrd/directdoc.asp?DDFDocuments/t/G/TBTN24/ARE627.DOCX")</f>
      </c>
      <c r="P1349" s="6">
        <f>HYPERLINK("https://docs.wto.org/imrd/directdoc.asp?DDFDocuments/u/G/TBTN24/ARE627.DOCX", "https://docs.wto.org/imrd/directdoc.asp?DDFDocuments/u/G/TBTN24/ARE627.DOCX")</f>
      </c>
      <c r="Q1349" s="6">
        <f>HYPERLINK("https://docs.wto.org/imrd/directdoc.asp?DDFDocuments/v/G/TBTN24/ARE627.DOCX", "https://docs.wto.org/imrd/directdoc.asp?DDFDocuments/v/G/TBTN24/ARE627.DOCX")</f>
      </c>
    </row>
    <row r="1350">
      <c r="A1350" s="6" t="s">
        <v>49</v>
      </c>
      <c r="B1350" s="7">
        <v>45586</v>
      </c>
      <c r="C1350" s="9">
        <f>HYPERLINK("https://eping.wto.org/en/Search?viewData= G/TBT/N/BDI/242/Add.2, G/TBT/N/KEN/1261/Add.2, G/TBT/N/RWA/672/Add.2, G/TBT/N/TZA/782/Add.2, G/TBT/N/UGA/1595/Add.2"," G/TBT/N/BDI/242/Add.2, G/TBT/N/KEN/1261/Add.2, G/TBT/N/RWA/672/Add.2, G/TBT/N/TZA/782/Add.2, G/TBT/N/UGA/1595/Add.2")</f>
      </c>
      <c r="D1350" s="8" t="s">
        <v>4302</v>
      </c>
      <c r="E1350" s="8" t="s">
        <v>4303</v>
      </c>
      <c r="F1350" s="8" t="s">
        <v>4297</v>
      </c>
      <c r="G1350" s="8" t="s">
        <v>4298</v>
      </c>
      <c r="H1350" s="8" t="s">
        <v>4299</v>
      </c>
      <c r="I1350" s="8" t="s">
        <v>4304</v>
      </c>
      <c r="J1350" s="8" t="s">
        <v>4301</v>
      </c>
      <c r="K1350" s="6"/>
      <c r="L1350" s="7" t="s">
        <v>22</v>
      </c>
      <c r="M1350" s="6" t="s">
        <v>40</v>
      </c>
      <c r="N1350" s="6"/>
      <c r="O1350" s="6">
        <f>HYPERLINK("https://docs.wto.org/imrd/directdoc.asp?DDFDocuments/t/G/TBTN22/BDI242A2.DOCX", "https://docs.wto.org/imrd/directdoc.asp?DDFDocuments/t/G/TBTN22/BDI242A2.DOCX")</f>
      </c>
      <c r="P1350" s="6">
        <f>HYPERLINK("https://docs.wto.org/imrd/directdoc.asp?DDFDocuments/u/G/TBTN22/BDI242A2.DOCX", "https://docs.wto.org/imrd/directdoc.asp?DDFDocuments/u/G/TBTN22/BDI242A2.DOCX")</f>
      </c>
      <c r="Q1350" s="6">
        <f>HYPERLINK("https://docs.wto.org/imrd/directdoc.asp?DDFDocuments/v/G/TBTN22/BDI242A2.DOCX", "https://docs.wto.org/imrd/directdoc.asp?DDFDocuments/v/G/TBTN22/BDI242A2.DOCX")</f>
      </c>
    </row>
    <row r="1351">
      <c r="A1351" s="6" t="s">
        <v>152</v>
      </c>
      <c r="B1351" s="7">
        <v>45586</v>
      </c>
      <c r="C1351" s="9">
        <f>HYPERLINK("https://eping.wto.org/en/Search?viewData= G/SPS/N/PER/1065"," G/SPS/N/PER/1065")</f>
      </c>
      <c r="D1351" s="8" t="s">
        <v>4396</v>
      </c>
      <c r="E1351" s="8" t="s">
        <v>4397</v>
      </c>
      <c r="F1351" s="8" t="s">
        <v>4398</v>
      </c>
      <c r="G1351" s="8" t="s">
        <v>1307</v>
      </c>
      <c r="H1351" s="8" t="s">
        <v>22</v>
      </c>
      <c r="I1351" s="8" t="s">
        <v>128</v>
      </c>
      <c r="J1351" s="8" t="s">
        <v>1262</v>
      </c>
      <c r="K1351" s="6" t="s">
        <v>82</v>
      </c>
      <c r="L1351" s="7">
        <v>45593</v>
      </c>
      <c r="M1351" s="6" t="s">
        <v>32</v>
      </c>
      <c r="N1351" s="8" t="s">
        <v>4399</v>
      </c>
      <c r="O1351" s="6">
        <f>HYPERLINK("https://docs.wto.org/imrd/directdoc.asp?DDFDocuments/t/G/SPS/NPER1065.DOCX", "https://docs.wto.org/imrd/directdoc.asp?DDFDocuments/t/G/SPS/NPER1065.DOCX")</f>
      </c>
      <c r="P1351" s="6">
        <f>HYPERLINK("https://docs.wto.org/imrd/directdoc.asp?DDFDocuments/u/G/SPS/NPER1065.DOCX", "https://docs.wto.org/imrd/directdoc.asp?DDFDocuments/u/G/SPS/NPER1065.DOCX")</f>
      </c>
      <c r="Q1351" s="6">
        <f>HYPERLINK("https://docs.wto.org/imrd/directdoc.asp?DDFDocuments/v/G/SPS/NPER1065.DOCX", "https://docs.wto.org/imrd/directdoc.asp?DDFDocuments/v/G/SPS/NPER1065.DOCX")</f>
      </c>
    </row>
    <row r="1352">
      <c r="A1352" s="6" t="s">
        <v>68</v>
      </c>
      <c r="B1352" s="7">
        <v>45586</v>
      </c>
      <c r="C1352" s="9">
        <f>HYPERLINK("https://eping.wto.org/en/Search?viewData= G/TBT/N/BDI/241/Add.1, G/TBT/N/KEN/1260/Add.1, G/TBT/N/RWA/671/Add.1, G/TBT/N/TZA/781/Add.1, G/TBT/N/UGA/1594/Add.1"," G/TBT/N/BDI/241/Add.1, G/TBT/N/KEN/1260/Add.1, G/TBT/N/RWA/671/Add.1, G/TBT/N/TZA/781/Add.1, G/TBT/N/UGA/1594/Add.1")</f>
      </c>
      <c r="D1352" s="8" t="s">
        <v>4295</v>
      </c>
      <c r="E1352" s="8" t="s">
        <v>4296</v>
      </c>
      <c r="F1352" s="8" t="s">
        <v>4297</v>
      </c>
      <c r="G1352" s="8" t="s">
        <v>4298</v>
      </c>
      <c r="H1352" s="8" t="s">
        <v>4299</v>
      </c>
      <c r="I1352" s="8" t="s">
        <v>286</v>
      </c>
      <c r="J1352" s="8" t="s">
        <v>4301</v>
      </c>
      <c r="K1352" s="6"/>
      <c r="L1352" s="7" t="s">
        <v>22</v>
      </c>
      <c r="M1352" s="6" t="s">
        <v>40</v>
      </c>
      <c r="N1352" s="6"/>
      <c r="O1352" s="6">
        <f>HYPERLINK("https://docs.wto.org/imrd/directdoc.asp?DDFDocuments/t/G/TBTN22/BDI241A1.DOCX", "https://docs.wto.org/imrd/directdoc.asp?DDFDocuments/t/G/TBTN22/BDI241A1.DOCX")</f>
      </c>
      <c r="P1352" s="6">
        <f>HYPERLINK("https://docs.wto.org/imrd/directdoc.asp?DDFDocuments/u/G/TBTN22/BDI241A1.DOCX", "https://docs.wto.org/imrd/directdoc.asp?DDFDocuments/u/G/TBTN22/BDI241A1.DOCX")</f>
      </c>
      <c r="Q1352" s="6">
        <f>HYPERLINK("https://docs.wto.org/imrd/directdoc.asp?DDFDocuments/v/G/TBTN22/BDI241A1.DOCX", "https://docs.wto.org/imrd/directdoc.asp?DDFDocuments/v/G/TBTN22/BDI241A1.DOCX")</f>
      </c>
    </row>
    <row r="1353">
      <c r="A1353" s="6" t="s">
        <v>68</v>
      </c>
      <c r="B1353" s="7">
        <v>45586</v>
      </c>
      <c r="C1353" s="9">
        <f>HYPERLINK("https://eping.wto.org/en/Search?viewData= G/TBT/N/BDI/272/Add.2, G/TBT/N/KEN/1300/Add.2, G/TBT/N/RWA/706/Add.2, G/TBT/N/TZA/825/Add.2, G/TBT/N/UGA/1680/Add.2"," G/TBT/N/BDI/272/Add.2, G/TBT/N/KEN/1300/Add.2, G/TBT/N/RWA/706/Add.2, G/TBT/N/TZA/825/Add.2, G/TBT/N/UGA/1680/Add.2")</f>
      </c>
      <c r="D1353" s="8" t="s">
        <v>4305</v>
      </c>
      <c r="E1353" s="8" t="s">
        <v>4306</v>
      </c>
      <c r="F1353" s="8" t="s">
        <v>4307</v>
      </c>
      <c r="G1353" s="8" t="s">
        <v>2193</v>
      </c>
      <c r="H1353" s="8" t="s">
        <v>2073</v>
      </c>
      <c r="I1353" s="8" t="s">
        <v>4400</v>
      </c>
      <c r="J1353" s="8" t="s">
        <v>761</v>
      </c>
      <c r="K1353" s="6"/>
      <c r="L1353" s="7" t="s">
        <v>22</v>
      </c>
      <c r="M1353" s="6" t="s">
        <v>40</v>
      </c>
      <c r="N1353" s="6"/>
      <c r="O1353" s="6">
        <f>HYPERLINK("https://docs.wto.org/imrd/directdoc.asp?DDFDocuments/t/G/TBTN22/BDI272A2.DOCX", "https://docs.wto.org/imrd/directdoc.asp?DDFDocuments/t/G/TBTN22/BDI272A2.DOCX")</f>
      </c>
      <c r="P1353" s="6">
        <f>HYPERLINK("https://docs.wto.org/imrd/directdoc.asp?DDFDocuments/u/G/TBTN22/BDI272A2.DOCX", "https://docs.wto.org/imrd/directdoc.asp?DDFDocuments/u/G/TBTN22/BDI272A2.DOCX")</f>
      </c>
      <c r="Q1353" s="6">
        <f>HYPERLINK("https://docs.wto.org/imrd/directdoc.asp?DDFDocuments/v/G/TBTN22/BDI272A2.DOCX", "https://docs.wto.org/imrd/directdoc.asp?DDFDocuments/v/G/TBTN22/BDI272A2.DOCX")</f>
      </c>
    </row>
    <row r="1354">
      <c r="A1354" s="6" t="s">
        <v>53</v>
      </c>
      <c r="B1354" s="7">
        <v>45586</v>
      </c>
      <c r="C1354" s="9">
        <f>HYPERLINK("https://eping.wto.org/en/Search?viewData= G/TBT/N/BDI/238/Add.2, G/TBT/N/KEN/1257/Add.2, G/TBT/N/RWA/668/Add.2, G/TBT/N/TZA/778/Add.2, G/TBT/N/UGA/1591/Add.2"," G/TBT/N/BDI/238/Add.2, G/TBT/N/KEN/1257/Add.2, G/TBT/N/RWA/668/Add.2, G/TBT/N/TZA/778/Add.2, G/TBT/N/UGA/1591/Add.2")</f>
      </c>
      <c r="D1354" s="8" t="s">
        <v>4342</v>
      </c>
      <c r="E1354" s="8" t="s">
        <v>4343</v>
      </c>
      <c r="F1354" s="8" t="s">
        <v>4297</v>
      </c>
      <c r="G1354" s="8" t="s">
        <v>4298</v>
      </c>
      <c r="H1354" s="8" t="s">
        <v>4299</v>
      </c>
      <c r="I1354" s="8" t="s">
        <v>4361</v>
      </c>
      <c r="J1354" s="8" t="s">
        <v>4301</v>
      </c>
      <c r="K1354" s="6"/>
      <c r="L1354" s="7" t="s">
        <v>22</v>
      </c>
      <c r="M1354" s="6" t="s">
        <v>40</v>
      </c>
      <c r="N1354" s="6"/>
      <c r="O1354" s="6">
        <f>HYPERLINK("https://docs.wto.org/imrd/directdoc.asp?DDFDocuments/t/G/TBTN22/BDI238A2.DOCX", "https://docs.wto.org/imrd/directdoc.asp?DDFDocuments/t/G/TBTN22/BDI238A2.DOCX")</f>
      </c>
      <c r="P1354" s="6">
        <f>HYPERLINK("https://docs.wto.org/imrd/directdoc.asp?DDFDocuments/u/G/TBTN22/BDI238A2.DOCX", "https://docs.wto.org/imrd/directdoc.asp?DDFDocuments/u/G/TBTN22/BDI238A2.DOCX")</f>
      </c>
      <c r="Q1354" s="6">
        <f>HYPERLINK("https://docs.wto.org/imrd/directdoc.asp?DDFDocuments/v/G/TBTN22/BDI238A2.DOCX", "https://docs.wto.org/imrd/directdoc.asp?DDFDocuments/v/G/TBTN22/BDI238A2.DOCX")</f>
      </c>
    </row>
    <row r="1355">
      <c r="A1355" s="6" t="s">
        <v>60</v>
      </c>
      <c r="B1355" s="7">
        <v>45586</v>
      </c>
      <c r="C1355" s="9">
        <f>HYPERLINK("https://eping.wto.org/en/Search?viewData= G/TBT/N/BDI/237/Add.2, G/TBT/N/KEN/1256/Add.2, G/TBT/N/RWA/667/Add.2, G/TBT/N/TZA/777/Add.2, G/TBT/N/UGA/1590/Add.2"," G/TBT/N/BDI/237/Add.2, G/TBT/N/KEN/1256/Add.2, G/TBT/N/RWA/667/Add.2, G/TBT/N/TZA/777/Add.2, G/TBT/N/UGA/1590/Add.2")</f>
      </c>
      <c r="D1355" s="8" t="s">
        <v>4317</v>
      </c>
      <c r="E1355" s="8" t="s">
        <v>4318</v>
      </c>
      <c r="F1355" s="8" t="s">
        <v>4319</v>
      </c>
      <c r="G1355" s="8" t="s">
        <v>4320</v>
      </c>
      <c r="H1355" s="8" t="s">
        <v>4299</v>
      </c>
      <c r="I1355" s="8" t="s">
        <v>4304</v>
      </c>
      <c r="J1355" s="8" t="s">
        <v>4301</v>
      </c>
      <c r="K1355" s="6"/>
      <c r="L1355" s="7" t="s">
        <v>22</v>
      </c>
      <c r="M1355" s="6" t="s">
        <v>40</v>
      </c>
      <c r="N1355" s="6"/>
      <c r="O1355" s="6">
        <f>HYPERLINK("https://docs.wto.org/imrd/directdoc.asp?DDFDocuments/t/G/TBTN22/BDI237A2.DOCX", "https://docs.wto.org/imrd/directdoc.asp?DDFDocuments/t/G/TBTN22/BDI237A2.DOCX")</f>
      </c>
      <c r="P1355" s="6">
        <f>HYPERLINK("https://docs.wto.org/imrd/directdoc.asp?DDFDocuments/u/G/TBTN22/BDI237A2.DOCX", "https://docs.wto.org/imrd/directdoc.asp?DDFDocuments/u/G/TBTN22/BDI237A2.DOCX")</f>
      </c>
      <c r="Q1355" s="6">
        <f>HYPERLINK("https://docs.wto.org/imrd/directdoc.asp?DDFDocuments/v/G/TBTN22/BDI237A2.DOCX", "https://docs.wto.org/imrd/directdoc.asp?DDFDocuments/v/G/TBTN22/BDI237A2.DOCX")</f>
      </c>
    </row>
    <row r="1356">
      <c r="A1356" s="6" t="s">
        <v>26</v>
      </c>
      <c r="B1356" s="7">
        <v>45586</v>
      </c>
      <c r="C1356" s="9">
        <f>HYPERLINK("https://eping.wto.org/en/Search?viewData= G/TBT/N/BDI/237/Add.2, G/TBT/N/KEN/1256/Add.2, G/TBT/N/RWA/667/Add.2, G/TBT/N/TZA/777/Add.2, G/TBT/N/UGA/1590/Add.2"," G/TBT/N/BDI/237/Add.2, G/TBT/N/KEN/1256/Add.2, G/TBT/N/RWA/667/Add.2, G/TBT/N/TZA/777/Add.2, G/TBT/N/UGA/1590/Add.2")</f>
      </c>
      <c r="D1356" s="8" t="s">
        <v>4317</v>
      </c>
      <c r="E1356" s="8" t="s">
        <v>4318</v>
      </c>
      <c r="F1356" s="8" t="s">
        <v>4319</v>
      </c>
      <c r="G1356" s="8" t="s">
        <v>4320</v>
      </c>
      <c r="H1356" s="8" t="s">
        <v>4299</v>
      </c>
      <c r="I1356" s="8" t="s">
        <v>4304</v>
      </c>
      <c r="J1356" s="8" t="s">
        <v>4301</v>
      </c>
      <c r="K1356" s="6"/>
      <c r="L1356" s="7" t="s">
        <v>22</v>
      </c>
      <c r="M1356" s="6" t="s">
        <v>40</v>
      </c>
      <c r="N1356" s="6"/>
      <c r="O1356" s="6">
        <f>HYPERLINK("https://docs.wto.org/imrd/directdoc.asp?DDFDocuments/t/G/TBTN22/BDI237A2.DOCX", "https://docs.wto.org/imrd/directdoc.asp?DDFDocuments/t/G/TBTN22/BDI237A2.DOCX")</f>
      </c>
      <c r="P1356" s="6">
        <f>HYPERLINK("https://docs.wto.org/imrd/directdoc.asp?DDFDocuments/u/G/TBTN22/BDI237A2.DOCX", "https://docs.wto.org/imrd/directdoc.asp?DDFDocuments/u/G/TBTN22/BDI237A2.DOCX")</f>
      </c>
      <c r="Q1356" s="6">
        <f>HYPERLINK("https://docs.wto.org/imrd/directdoc.asp?DDFDocuments/v/G/TBTN22/BDI237A2.DOCX", "https://docs.wto.org/imrd/directdoc.asp?DDFDocuments/v/G/TBTN22/BDI237A2.DOCX")</f>
      </c>
    </row>
    <row r="1357">
      <c r="A1357" s="6" t="s">
        <v>60</v>
      </c>
      <c r="B1357" s="7">
        <v>45586</v>
      </c>
      <c r="C1357" s="9">
        <f>HYPERLINK("https://eping.wto.org/en/Search?viewData= G/TBT/N/BDI/243/Add.3, G/TBT/N/KEN/1262/Add.3, G/TBT/N/RWA/673/Add.3, G/TBT/N/TZA/783/Add.3, G/TBT/N/UGA/1597/Add.3"," G/TBT/N/BDI/243/Add.3, G/TBT/N/KEN/1262/Add.3, G/TBT/N/RWA/673/Add.3, G/TBT/N/TZA/783/Add.3, G/TBT/N/UGA/1597/Add.3")</f>
      </c>
      <c r="D1357" s="8" t="s">
        <v>4284</v>
      </c>
      <c r="E1357" s="8" t="s">
        <v>4352</v>
      </c>
      <c r="F1357" s="8" t="s">
        <v>4286</v>
      </c>
      <c r="G1357" s="8" t="s">
        <v>4287</v>
      </c>
      <c r="H1357" s="8" t="s">
        <v>4288</v>
      </c>
      <c r="I1357" s="8" t="s">
        <v>4351</v>
      </c>
      <c r="J1357" s="8" t="s">
        <v>783</v>
      </c>
      <c r="K1357" s="6"/>
      <c r="L1357" s="7" t="s">
        <v>22</v>
      </c>
      <c r="M1357" s="6" t="s">
        <v>40</v>
      </c>
      <c r="N1357" s="6"/>
      <c r="O1357" s="6">
        <f>HYPERLINK("https://docs.wto.org/imrd/directdoc.asp?DDFDocuments/t/G/TBTN22/BDI243A3.DOCX", "https://docs.wto.org/imrd/directdoc.asp?DDFDocuments/t/G/TBTN22/BDI243A3.DOCX")</f>
      </c>
      <c r="P1357" s="6">
        <f>HYPERLINK("https://docs.wto.org/imrd/directdoc.asp?DDFDocuments/u/G/TBTN22/BDI243A3.DOCX", "https://docs.wto.org/imrd/directdoc.asp?DDFDocuments/u/G/TBTN22/BDI243A3.DOCX")</f>
      </c>
      <c r="Q1357" s="6">
        <f>HYPERLINK("https://docs.wto.org/imrd/directdoc.asp?DDFDocuments/v/G/TBTN22/BDI243A3.DOCX", "https://docs.wto.org/imrd/directdoc.asp?DDFDocuments/v/G/TBTN22/BDI243A3.DOCX")</f>
      </c>
    </row>
    <row r="1358">
      <c r="A1358" s="6" t="s">
        <v>60</v>
      </c>
      <c r="B1358" s="7">
        <v>45586</v>
      </c>
      <c r="C1358" s="9">
        <f>HYPERLINK("https://eping.wto.org/en/Search?viewData= G/TBT/N/BDI/272/Add.2, G/TBT/N/KEN/1300/Add.2, G/TBT/N/RWA/706/Add.2, G/TBT/N/TZA/825/Add.2, G/TBT/N/UGA/1680/Add.2"," G/TBT/N/BDI/272/Add.2, G/TBT/N/KEN/1300/Add.2, G/TBT/N/RWA/706/Add.2, G/TBT/N/TZA/825/Add.2, G/TBT/N/UGA/1680/Add.2")</f>
      </c>
      <c r="D1358" s="8" t="s">
        <v>4305</v>
      </c>
      <c r="E1358" s="8" t="s">
        <v>4306</v>
      </c>
      <c r="F1358" s="8" t="s">
        <v>4307</v>
      </c>
      <c r="G1358" s="8" t="s">
        <v>2193</v>
      </c>
      <c r="H1358" s="8" t="s">
        <v>2073</v>
      </c>
      <c r="I1358" s="8" t="s">
        <v>4308</v>
      </c>
      <c r="J1358" s="8" t="s">
        <v>761</v>
      </c>
      <c r="K1358" s="6"/>
      <c r="L1358" s="7" t="s">
        <v>22</v>
      </c>
      <c r="M1358" s="6" t="s">
        <v>40</v>
      </c>
      <c r="N1358" s="6"/>
      <c r="O1358" s="6">
        <f>HYPERLINK("https://docs.wto.org/imrd/directdoc.asp?DDFDocuments/t/G/TBTN22/BDI272A2.DOCX", "https://docs.wto.org/imrd/directdoc.asp?DDFDocuments/t/G/TBTN22/BDI272A2.DOCX")</f>
      </c>
      <c r="P1358" s="6">
        <f>HYPERLINK("https://docs.wto.org/imrd/directdoc.asp?DDFDocuments/u/G/TBTN22/BDI272A2.DOCX", "https://docs.wto.org/imrd/directdoc.asp?DDFDocuments/u/G/TBTN22/BDI272A2.DOCX")</f>
      </c>
      <c r="Q1358" s="6">
        <f>HYPERLINK("https://docs.wto.org/imrd/directdoc.asp?DDFDocuments/v/G/TBTN22/BDI272A2.DOCX", "https://docs.wto.org/imrd/directdoc.asp?DDFDocuments/v/G/TBTN22/BDI272A2.DOCX")</f>
      </c>
    </row>
    <row r="1359">
      <c r="A1359" s="6" t="s">
        <v>1982</v>
      </c>
      <c r="B1359" s="7">
        <v>45586</v>
      </c>
      <c r="C1359" s="9">
        <f>HYPERLINK("https://eping.wto.org/en/Search?viewData= G/TBT/N/ARE/627, G/TBT/N/BHR/711, G/TBT/N/KWT/691, G/TBT/N/OMN/535, G/TBT/N/QAT/686, G/TBT/N/SAU/1356, G/TBT/N/YEM/292"," G/TBT/N/ARE/627, G/TBT/N/BHR/711, G/TBT/N/KWT/691, G/TBT/N/OMN/535, G/TBT/N/QAT/686, G/TBT/N/SAU/1356, G/TBT/N/YEM/292")</f>
      </c>
      <c r="D1359" s="8" t="s">
        <v>4345</v>
      </c>
      <c r="E1359" s="8" t="s">
        <v>4346</v>
      </c>
      <c r="F1359" s="8" t="s">
        <v>2097</v>
      </c>
      <c r="G1359" s="8" t="s">
        <v>4347</v>
      </c>
      <c r="H1359" s="8" t="s">
        <v>4348</v>
      </c>
      <c r="I1359" s="8" t="s">
        <v>823</v>
      </c>
      <c r="J1359" s="8" t="s">
        <v>58</v>
      </c>
      <c r="K1359" s="6"/>
      <c r="L1359" s="7">
        <v>45646</v>
      </c>
      <c r="M1359" s="6" t="s">
        <v>32</v>
      </c>
      <c r="N1359" s="8" t="s">
        <v>4349</v>
      </c>
      <c r="O1359" s="6">
        <f>HYPERLINK("https://docs.wto.org/imrd/directdoc.asp?DDFDocuments/t/G/TBTN24/ARE627.DOCX", "https://docs.wto.org/imrd/directdoc.asp?DDFDocuments/t/G/TBTN24/ARE627.DOCX")</f>
      </c>
      <c r="P1359" s="6">
        <f>HYPERLINK("https://docs.wto.org/imrd/directdoc.asp?DDFDocuments/u/G/TBTN24/ARE627.DOCX", "https://docs.wto.org/imrd/directdoc.asp?DDFDocuments/u/G/TBTN24/ARE627.DOCX")</f>
      </c>
      <c r="Q1359" s="6">
        <f>HYPERLINK("https://docs.wto.org/imrd/directdoc.asp?DDFDocuments/v/G/TBTN24/ARE627.DOCX", "https://docs.wto.org/imrd/directdoc.asp?DDFDocuments/v/G/TBTN24/ARE627.DOCX")</f>
      </c>
    </row>
    <row r="1360">
      <c r="A1360" s="6" t="s">
        <v>104</v>
      </c>
      <c r="B1360" s="7">
        <v>45583</v>
      </c>
      <c r="C1360" s="9">
        <f>HYPERLINK("https://eping.wto.org/en/Search?viewData= G/SPS/N/CHN/1317"," G/SPS/N/CHN/1317")</f>
      </c>
      <c r="D1360" s="8" t="s">
        <v>4401</v>
      </c>
      <c r="E1360" s="8" t="s">
        <v>4402</v>
      </c>
      <c r="F1360" s="8" t="s">
        <v>4403</v>
      </c>
      <c r="G1360" s="8" t="s">
        <v>4404</v>
      </c>
      <c r="H1360" s="8" t="s">
        <v>22</v>
      </c>
      <c r="I1360" s="8" t="s">
        <v>120</v>
      </c>
      <c r="J1360" s="8" t="s">
        <v>416</v>
      </c>
      <c r="K1360" s="6" t="s">
        <v>22</v>
      </c>
      <c r="L1360" s="7">
        <v>45643</v>
      </c>
      <c r="M1360" s="6" t="s">
        <v>32</v>
      </c>
      <c r="N1360" s="8" t="s">
        <v>4405</v>
      </c>
      <c r="O1360" s="6">
        <f>HYPERLINK("https://docs.wto.org/imrd/directdoc.asp?DDFDocuments/t/G/SPS/NCHN1317.DOCX", "https://docs.wto.org/imrd/directdoc.asp?DDFDocuments/t/G/SPS/NCHN1317.DOCX")</f>
      </c>
      <c r="P1360" s="6">
        <f>HYPERLINK("https://docs.wto.org/imrd/directdoc.asp?DDFDocuments/u/G/SPS/NCHN1317.DOCX", "https://docs.wto.org/imrd/directdoc.asp?DDFDocuments/u/G/SPS/NCHN1317.DOCX")</f>
      </c>
      <c r="Q1360" s="6">
        <f>HYPERLINK("https://docs.wto.org/imrd/directdoc.asp?DDFDocuments/v/G/SPS/NCHN1317.DOCX", "https://docs.wto.org/imrd/directdoc.asp?DDFDocuments/v/G/SPS/NCHN1317.DOCX")</f>
      </c>
    </row>
    <row r="1361">
      <c r="A1361" s="6" t="s">
        <v>68</v>
      </c>
      <c r="B1361" s="7">
        <v>45583</v>
      </c>
      <c r="C1361" s="9">
        <f>HYPERLINK("https://eping.wto.org/en/Search?viewData= G/TBT/N/BDI/235/Add.2, G/TBT/N/KEN/1252/Add.2, G/TBT/N/RWA/665/Add.2, G/TBT/N/TZA/775/Add.2, G/TBT/N/UGA/1588/Add.2"," G/TBT/N/BDI/235/Add.2, G/TBT/N/KEN/1252/Add.2, G/TBT/N/RWA/665/Add.2, G/TBT/N/TZA/775/Add.2, G/TBT/N/UGA/1588/Add.2")</f>
      </c>
      <c r="D1361" s="8" t="s">
        <v>4406</v>
      </c>
      <c r="E1361" s="8" t="s">
        <v>4407</v>
      </c>
      <c r="F1361" s="8" t="s">
        <v>4408</v>
      </c>
      <c r="G1361" s="8" t="s">
        <v>4409</v>
      </c>
      <c r="H1361" s="8" t="s">
        <v>4299</v>
      </c>
      <c r="I1361" s="8" t="s">
        <v>4410</v>
      </c>
      <c r="J1361" s="8" t="s">
        <v>4301</v>
      </c>
      <c r="K1361" s="6"/>
      <c r="L1361" s="7" t="s">
        <v>22</v>
      </c>
      <c r="M1361" s="6" t="s">
        <v>40</v>
      </c>
      <c r="N1361" s="6"/>
      <c r="O1361" s="6">
        <f>HYPERLINK("https://docs.wto.org/imrd/directdoc.asp?DDFDocuments/t/G/TBTN22/BDI235A2.DOCX", "https://docs.wto.org/imrd/directdoc.asp?DDFDocuments/t/G/TBTN22/BDI235A2.DOCX")</f>
      </c>
      <c r="P1361" s="6">
        <f>HYPERLINK("https://docs.wto.org/imrd/directdoc.asp?DDFDocuments/u/G/TBTN22/BDI235A2.DOCX", "https://docs.wto.org/imrd/directdoc.asp?DDFDocuments/u/G/TBTN22/BDI235A2.DOCX")</f>
      </c>
      <c r="Q1361" s="6">
        <f>HYPERLINK("https://docs.wto.org/imrd/directdoc.asp?DDFDocuments/v/G/TBTN22/BDI235A2.DOCX", "https://docs.wto.org/imrd/directdoc.asp?DDFDocuments/v/G/TBTN22/BDI235A2.DOCX")</f>
      </c>
    </row>
    <row r="1362">
      <c r="A1362" s="6" t="s">
        <v>53</v>
      </c>
      <c r="B1362" s="7">
        <v>45583</v>
      </c>
      <c r="C1362" s="9">
        <f>HYPERLINK("https://eping.wto.org/en/Search?viewData= G/TBT/N/BDI/523, G/TBT/N/KEN/1696, G/TBT/N/RWA/1089, G/TBT/N/TZA/1189, G/TBT/N/UGA/2033"," G/TBT/N/BDI/523, G/TBT/N/KEN/1696, G/TBT/N/RWA/1089, G/TBT/N/TZA/1189, G/TBT/N/UGA/2033")</f>
      </c>
      <c r="D1362" s="8" t="s">
        <v>4411</v>
      </c>
      <c r="E1362" s="8" t="s">
        <v>4412</v>
      </c>
      <c r="F1362" s="8" t="s">
        <v>4413</v>
      </c>
      <c r="G1362" s="8" t="s">
        <v>4414</v>
      </c>
      <c r="H1362" s="8" t="s">
        <v>4415</v>
      </c>
      <c r="I1362" s="8" t="s">
        <v>4253</v>
      </c>
      <c r="J1362" s="8" t="s">
        <v>22</v>
      </c>
      <c r="K1362" s="6"/>
      <c r="L1362" s="7">
        <v>45643</v>
      </c>
      <c r="M1362" s="6" t="s">
        <v>32</v>
      </c>
      <c r="N1362" s="8" t="s">
        <v>4416</v>
      </c>
      <c r="O1362" s="6">
        <f>HYPERLINK("https://docs.wto.org/imrd/directdoc.asp?DDFDocuments/t/G/TBTN24/BDI523.DOCX", "https://docs.wto.org/imrd/directdoc.asp?DDFDocuments/t/G/TBTN24/BDI523.DOCX")</f>
      </c>
      <c r="P1362" s="6">
        <f>HYPERLINK("https://docs.wto.org/imrd/directdoc.asp?DDFDocuments/u/G/TBTN24/BDI523.DOCX", "https://docs.wto.org/imrd/directdoc.asp?DDFDocuments/u/G/TBTN24/BDI523.DOCX")</f>
      </c>
      <c r="Q1362" s="6">
        <f>HYPERLINK("https://docs.wto.org/imrd/directdoc.asp?DDFDocuments/v/G/TBTN24/BDI523.DOCX", "https://docs.wto.org/imrd/directdoc.asp?DDFDocuments/v/G/TBTN24/BDI523.DOCX")</f>
      </c>
    </row>
    <row r="1363">
      <c r="A1363" s="6" t="s">
        <v>26</v>
      </c>
      <c r="B1363" s="7">
        <v>45583</v>
      </c>
      <c r="C1363" s="9">
        <f>HYPERLINK("https://eping.wto.org/en/Search?viewData= G/TBT/N/BDI/522, G/TBT/N/KEN/1695, G/TBT/N/RWA/1088, G/TBT/N/TZA/1188, G/TBT/N/UGA/2032"," G/TBT/N/BDI/522, G/TBT/N/KEN/1695, G/TBT/N/RWA/1088, G/TBT/N/TZA/1188, G/TBT/N/UGA/2032")</f>
      </c>
      <c r="D1363" s="8" t="s">
        <v>4417</v>
      </c>
      <c r="E1363" s="8" t="s">
        <v>4418</v>
      </c>
      <c r="F1363" s="8" t="s">
        <v>4419</v>
      </c>
      <c r="G1363" s="8" t="s">
        <v>4420</v>
      </c>
      <c r="H1363" s="8" t="s">
        <v>4421</v>
      </c>
      <c r="I1363" s="8" t="s">
        <v>4422</v>
      </c>
      <c r="J1363" s="8" t="s">
        <v>22</v>
      </c>
      <c r="K1363" s="6"/>
      <c r="L1363" s="7">
        <v>45643</v>
      </c>
      <c r="M1363" s="6" t="s">
        <v>32</v>
      </c>
      <c r="N1363" s="8" t="s">
        <v>4423</v>
      </c>
      <c r="O1363" s="6">
        <f>HYPERLINK("https://docs.wto.org/imrd/directdoc.asp?DDFDocuments/t/G/TBTN24/BDI522.DOCX", "https://docs.wto.org/imrd/directdoc.asp?DDFDocuments/t/G/TBTN24/BDI522.DOCX")</f>
      </c>
      <c r="P1363" s="6">
        <f>HYPERLINK("https://docs.wto.org/imrd/directdoc.asp?DDFDocuments/u/G/TBTN24/BDI522.DOCX", "https://docs.wto.org/imrd/directdoc.asp?DDFDocuments/u/G/TBTN24/BDI522.DOCX")</f>
      </c>
      <c r="Q1363" s="6">
        <f>HYPERLINK("https://docs.wto.org/imrd/directdoc.asp?DDFDocuments/v/G/TBTN24/BDI522.DOCX", "https://docs.wto.org/imrd/directdoc.asp?DDFDocuments/v/G/TBTN24/BDI522.DOCX")</f>
      </c>
    </row>
    <row r="1364">
      <c r="A1364" s="6" t="s">
        <v>26</v>
      </c>
      <c r="B1364" s="7">
        <v>45583</v>
      </c>
      <c r="C1364" s="9">
        <f>HYPERLINK("https://eping.wto.org/en/Search?viewData= G/TBT/N/BDI/525, G/TBT/N/KEN/1698, G/TBT/N/RWA/1091, G/TBT/N/TZA/1191, G/TBT/N/UGA/2035"," G/TBT/N/BDI/525, G/TBT/N/KEN/1698, G/TBT/N/RWA/1091, G/TBT/N/TZA/1191, G/TBT/N/UGA/2035")</f>
      </c>
      <c r="D1364" s="8" t="s">
        <v>4424</v>
      </c>
      <c r="E1364" s="8" t="s">
        <v>4425</v>
      </c>
      <c r="F1364" s="8" t="s">
        <v>4426</v>
      </c>
      <c r="G1364" s="8" t="s">
        <v>4427</v>
      </c>
      <c r="H1364" s="8" t="s">
        <v>4421</v>
      </c>
      <c r="I1364" s="8" t="s">
        <v>4428</v>
      </c>
      <c r="J1364" s="8" t="s">
        <v>22</v>
      </c>
      <c r="K1364" s="6"/>
      <c r="L1364" s="7">
        <v>45643</v>
      </c>
      <c r="M1364" s="6" t="s">
        <v>32</v>
      </c>
      <c r="N1364" s="8" t="s">
        <v>4429</v>
      </c>
      <c r="O1364" s="6">
        <f>HYPERLINK("https://docs.wto.org/imrd/directdoc.asp?DDFDocuments/t/G/TBTN24/BDI525.DOCX", "https://docs.wto.org/imrd/directdoc.asp?DDFDocuments/t/G/TBTN24/BDI525.DOCX")</f>
      </c>
      <c r="P1364" s="6">
        <f>HYPERLINK("https://docs.wto.org/imrd/directdoc.asp?DDFDocuments/u/G/TBTN24/BDI525.DOCX", "https://docs.wto.org/imrd/directdoc.asp?DDFDocuments/u/G/TBTN24/BDI525.DOCX")</f>
      </c>
      <c r="Q1364" s="6">
        <f>HYPERLINK("https://docs.wto.org/imrd/directdoc.asp?DDFDocuments/v/G/TBTN24/BDI525.DOCX", "https://docs.wto.org/imrd/directdoc.asp?DDFDocuments/v/G/TBTN24/BDI525.DOCX")</f>
      </c>
    </row>
    <row r="1365">
      <c r="A1365" s="6" t="s">
        <v>53</v>
      </c>
      <c r="B1365" s="7">
        <v>45583</v>
      </c>
      <c r="C1365" s="9">
        <f>HYPERLINK("https://eping.wto.org/en/Search?viewData= G/TBT/N/BDI/521, G/TBT/N/KEN/1694, G/TBT/N/RWA/1087, G/TBT/N/TZA/1187, G/TBT/N/UGA/2031"," G/TBT/N/BDI/521, G/TBT/N/KEN/1694, G/TBT/N/RWA/1087, G/TBT/N/TZA/1187, G/TBT/N/UGA/2031")</f>
      </c>
      <c r="D1365" s="8" t="s">
        <v>4430</v>
      </c>
      <c r="E1365" s="8" t="s">
        <v>4431</v>
      </c>
      <c r="F1365" s="8" t="s">
        <v>4432</v>
      </c>
      <c r="G1365" s="8" t="s">
        <v>4420</v>
      </c>
      <c r="H1365" s="8" t="s">
        <v>4421</v>
      </c>
      <c r="I1365" s="8" t="s">
        <v>4422</v>
      </c>
      <c r="J1365" s="8" t="s">
        <v>22</v>
      </c>
      <c r="K1365" s="6"/>
      <c r="L1365" s="7">
        <v>45643</v>
      </c>
      <c r="M1365" s="6" t="s">
        <v>32</v>
      </c>
      <c r="N1365" s="8" t="s">
        <v>4433</v>
      </c>
      <c r="O1365" s="6">
        <f>HYPERLINK("https://docs.wto.org/imrd/directdoc.asp?DDFDocuments/t/G/TBTN24/BDI521.DOCX", "https://docs.wto.org/imrd/directdoc.asp?DDFDocuments/t/G/TBTN24/BDI521.DOCX")</f>
      </c>
      <c r="P1365" s="6">
        <f>HYPERLINK("https://docs.wto.org/imrd/directdoc.asp?DDFDocuments/u/G/TBTN24/BDI521.DOCX", "https://docs.wto.org/imrd/directdoc.asp?DDFDocuments/u/G/TBTN24/BDI521.DOCX")</f>
      </c>
      <c r="Q1365" s="6">
        <f>HYPERLINK("https://docs.wto.org/imrd/directdoc.asp?DDFDocuments/v/G/TBTN24/BDI521.DOCX", "https://docs.wto.org/imrd/directdoc.asp?DDFDocuments/v/G/TBTN24/BDI521.DOCX")</f>
      </c>
    </row>
    <row r="1366">
      <c r="A1366" s="6" t="s">
        <v>53</v>
      </c>
      <c r="B1366" s="7">
        <v>45583</v>
      </c>
      <c r="C1366" s="9">
        <f>HYPERLINK("https://eping.wto.org/en/Search?viewData= G/TBT/N/BDI/522, G/TBT/N/KEN/1695, G/TBT/N/RWA/1088, G/TBT/N/TZA/1188, G/TBT/N/UGA/2032"," G/TBT/N/BDI/522, G/TBT/N/KEN/1695, G/TBT/N/RWA/1088, G/TBT/N/TZA/1188, G/TBT/N/UGA/2032")</f>
      </c>
      <c r="D1366" s="8" t="s">
        <v>4417</v>
      </c>
      <c r="E1366" s="8" t="s">
        <v>4418</v>
      </c>
      <c r="F1366" s="8" t="s">
        <v>4419</v>
      </c>
      <c r="G1366" s="8" t="s">
        <v>4420</v>
      </c>
      <c r="H1366" s="8" t="s">
        <v>4421</v>
      </c>
      <c r="I1366" s="8" t="s">
        <v>4422</v>
      </c>
      <c r="J1366" s="8" t="s">
        <v>22</v>
      </c>
      <c r="K1366" s="6"/>
      <c r="L1366" s="7">
        <v>45643</v>
      </c>
      <c r="M1366" s="6" t="s">
        <v>32</v>
      </c>
      <c r="N1366" s="8" t="s">
        <v>4423</v>
      </c>
      <c r="O1366" s="6">
        <f>HYPERLINK("https://docs.wto.org/imrd/directdoc.asp?DDFDocuments/t/G/TBTN24/BDI522.DOCX", "https://docs.wto.org/imrd/directdoc.asp?DDFDocuments/t/G/TBTN24/BDI522.DOCX")</f>
      </c>
      <c r="P1366" s="6">
        <f>HYPERLINK("https://docs.wto.org/imrd/directdoc.asp?DDFDocuments/u/G/TBTN24/BDI522.DOCX", "https://docs.wto.org/imrd/directdoc.asp?DDFDocuments/u/G/TBTN24/BDI522.DOCX")</f>
      </c>
      <c r="Q1366" s="6">
        <f>HYPERLINK("https://docs.wto.org/imrd/directdoc.asp?DDFDocuments/v/G/TBTN24/BDI522.DOCX", "https://docs.wto.org/imrd/directdoc.asp?DDFDocuments/v/G/TBTN24/BDI522.DOCX")</f>
      </c>
    </row>
    <row r="1367">
      <c r="A1367" s="6" t="s">
        <v>26</v>
      </c>
      <c r="B1367" s="7">
        <v>45583</v>
      </c>
      <c r="C1367" s="9">
        <f>HYPERLINK("https://eping.wto.org/en/Search?viewData= G/TBT/N/BDI/524, G/TBT/N/KEN/1697, G/TBT/N/RWA/1090, G/TBT/N/TZA/1190, G/TBT/N/UGA/2034"," G/TBT/N/BDI/524, G/TBT/N/KEN/1697, G/TBT/N/RWA/1090, G/TBT/N/TZA/1190, G/TBT/N/UGA/2034")</f>
      </c>
      <c r="D1367" s="8" t="s">
        <v>4434</v>
      </c>
      <c r="E1367" s="8" t="s">
        <v>4435</v>
      </c>
      <c r="F1367" s="8" t="s">
        <v>4426</v>
      </c>
      <c r="G1367" s="8" t="s">
        <v>4427</v>
      </c>
      <c r="H1367" s="8" t="s">
        <v>4421</v>
      </c>
      <c r="I1367" s="8" t="s">
        <v>4428</v>
      </c>
      <c r="J1367" s="8" t="s">
        <v>22</v>
      </c>
      <c r="K1367" s="6"/>
      <c r="L1367" s="7">
        <v>45643</v>
      </c>
      <c r="M1367" s="6" t="s">
        <v>32</v>
      </c>
      <c r="N1367" s="8" t="s">
        <v>4436</v>
      </c>
      <c r="O1367" s="6">
        <f>HYPERLINK("https://docs.wto.org/imrd/directdoc.asp?DDFDocuments/t/G/TBTN24/BDI524.DOCX", "https://docs.wto.org/imrd/directdoc.asp?DDFDocuments/t/G/TBTN24/BDI524.DOCX")</f>
      </c>
      <c r="P1367" s="6">
        <f>HYPERLINK("https://docs.wto.org/imrd/directdoc.asp?DDFDocuments/u/G/TBTN24/BDI524.DOCX", "https://docs.wto.org/imrd/directdoc.asp?DDFDocuments/u/G/TBTN24/BDI524.DOCX")</f>
      </c>
      <c r="Q1367" s="6">
        <f>HYPERLINK("https://docs.wto.org/imrd/directdoc.asp?DDFDocuments/v/G/TBTN24/BDI524.DOCX", "https://docs.wto.org/imrd/directdoc.asp?DDFDocuments/v/G/TBTN24/BDI524.DOCX")</f>
      </c>
    </row>
    <row r="1368">
      <c r="A1368" s="6" t="s">
        <v>53</v>
      </c>
      <c r="B1368" s="7">
        <v>45583</v>
      </c>
      <c r="C1368" s="9">
        <f>HYPERLINK("https://eping.wto.org/en/Search?viewData= G/TBT/N/KEN/1691"," G/TBT/N/KEN/1691")</f>
      </c>
      <c r="D1368" s="8" t="s">
        <v>4437</v>
      </c>
      <c r="E1368" s="8" t="s">
        <v>3009</v>
      </c>
      <c r="F1368" s="8" t="s">
        <v>4438</v>
      </c>
      <c r="G1368" s="8" t="s">
        <v>503</v>
      </c>
      <c r="H1368" s="8" t="s">
        <v>115</v>
      </c>
      <c r="I1368" s="8" t="s">
        <v>1805</v>
      </c>
      <c r="J1368" s="8" t="s">
        <v>58</v>
      </c>
      <c r="K1368" s="6"/>
      <c r="L1368" s="7">
        <v>45643</v>
      </c>
      <c r="M1368" s="6" t="s">
        <v>32</v>
      </c>
      <c r="N1368" s="8" t="s">
        <v>4439</v>
      </c>
      <c r="O1368" s="6">
        <f>HYPERLINK("https://docs.wto.org/imrd/directdoc.asp?DDFDocuments/t/G/TBTN24/KEN1691.DOCX", "https://docs.wto.org/imrd/directdoc.asp?DDFDocuments/t/G/TBTN24/KEN1691.DOCX")</f>
      </c>
      <c r="P1368" s="6">
        <f>HYPERLINK("https://docs.wto.org/imrd/directdoc.asp?DDFDocuments/u/G/TBTN24/KEN1691.DOCX", "https://docs.wto.org/imrd/directdoc.asp?DDFDocuments/u/G/TBTN24/KEN1691.DOCX")</f>
      </c>
      <c r="Q1368" s="6">
        <f>HYPERLINK("https://docs.wto.org/imrd/directdoc.asp?DDFDocuments/v/G/TBTN24/KEN1691.DOCX", "https://docs.wto.org/imrd/directdoc.asp?DDFDocuments/v/G/TBTN24/KEN1691.DOCX")</f>
      </c>
    </row>
    <row r="1369">
      <c r="A1369" s="6" t="s">
        <v>17</v>
      </c>
      <c r="B1369" s="7">
        <v>45583</v>
      </c>
      <c r="C1369" s="9">
        <f>HYPERLINK("https://eping.wto.org/en/Search?viewData= G/SPS/N/KOR/810"," G/SPS/N/KOR/810")</f>
      </c>
      <c r="D1369" s="8" t="s">
        <v>2567</v>
      </c>
      <c r="E1369" s="8" t="s">
        <v>4440</v>
      </c>
      <c r="F1369" s="8" t="s">
        <v>2034</v>
      </c>
      <c r="G1369" s="8" t="s">
        <v>22</v>
      </c>
      <c r="H1369" s="8" t="s">
        <v>22</v>
      </c>
      <c r="I1369" s="8" t="s">
        <v>120</v>
      </c>
      <c r="J1369" s="8" t="s">
        <v>416</v>
      </c>
      <c r="K1369" s="6" t="s">
        <v>22</v>
      </c>
      <c r="L1369" s="7">
        <v>45643</v>
      </c>
      <c r="M1369" s="6" t="s">
        <v>32</v>
      </c>
      <c r="N1369" s="8" t="s">
        <v>4441</v>
      </c>
      <c r="O1369" s="6">
        <f>HYPERLINK("https://docs.wto.org/imrd/directdoc.asp?DDFDocuments/t/G/SPS/NKOR810.DOCX", "https://docs.wto.org/imrd/directdoc.asp?DDFDocuments/t/G/SPS/NKOR810.DOCX")</f>
      </c>
      <c r="P1369" s="6">
        <f>HYPERLINK("https://docs.wto.org/imrd/directdoc.asp?DDFDocuments/u/G/SPS/NKOR810.DOCX", "https://docs.wto.org/imrd/directdoc.asp?DDFDocuments/u/G/SPS/NKOR810.DOCX")</f>
      </c>
      <c r="Q1369" s="6">
        <f>HYPERLINK("https://docs.wto.org/imrd/directdoc.asp?DDFDocuments/v/G/SPS/NKOR810.DOCX", "https://docs.wto.org/imrd/directdoc.asp?DDFDocuments/v/G/SPS/NKOR810.DOCX")</f>
      </c>
    </row>
    <row r="1370">
      <c r="A1370" s="6" t="s">
        <v>104</v>
      </c>
      <c r="B1370" s="7">
        <v>45583</v>
      </c>
      <c r="C1370" s="9">
        <f>HYPERLINK("https://eping.wto.org/en/Search?viewData= G/SPS/N/CHN/1319"," G/SPS/N/CHN/1319")</f>
      </c>
      <c r="D1370" s="8" t="s">
        <v>4442</v>
      </c>
      <c r="E1370" s="8" t="s">
        <v>4443</v>
      </c>
      <c r="F1370" s="8" t="s">
        <v>4444</v>
      </c>
      <c r="G1370" s="8" t="s">
        <v>22</v>
      </c>
      <c r="H1370" s="8" t="s">
        <v>22</v>
      </c>
      <c r="I1370" s="8" t="s">
        <v>120</v>
      </c>
      <c r="J1370" s="8" t="s">
        <v>416</v>
      </c>
      <c r="K1370" s="6" t="s">
        <v>22</v>
      </c>
      <c r="L1370" s="7">
        <v>45643</v>
      </c>
      <c r="M1370" s="6" t="s">
        <v>32</v>
      </c>
      <c r="N1370" s="8" t="s">
        <v>4445</v>
      </c>
      <c r="O1370" s="6">
        <f>HYPERLINK("https://docs.wto.org/imrd/directdoc.asp?DDFDocuments/t/G/SPS/NCHN1319.DOCX", "https://docs.wto.org/imrd/directdoc.asp?DDFDocuments/t/G/SPS/NCHN1319.DOCX")</f>
      </c>
      <c r="P1370" s="6">
        <f>HYPERLINK("https://docs.wto.org/imrd/directdoc.asp?DDFDocuments/u/G/SPS/NCHN1319.DOCX", "https://docs.wto.org/imrd/directdoc.asp?DDFDocuments/u/G/SPS/NCHN1319.DOCX")</f>
      </c>
      <c r="Q1370" s="6">
        <f>HYPERLINK("https://docs.wto.org/imrd/directdoc.asp?DDFDocuments/v/G/SPS/NCHN1319.DOCX", "https://docs.wto.org/imrd/directdoc.asp?DDFDocuments/v/G/SPS/NCHN1319.DOCX")</f>
      </c>
    </row>
    <row r="1371">
      <c r="A1371" s="6" t="s">
        <v>104</v>
      </c>
      <c r="B1371" s="7">
        <v>45583</v>
      </c>
      <c r="C1371" s="9">
        <f>HYPERLINK("https://eping.wto.org/en/Search?viewData= G/SPS/N/CHN/1321"," G/SPS/N/CHN/1321")</f>
      </c>
      <c r="D1371" s="8" t="s">
        <v>4446</v>
      </c>
      <c r="E1371" s="8" t="s">
        <v>4447</v>
      </c>
      <c r="F1371" s="8" t="s">
        <v>4448</v>
      </c>
      <c r="G1371" s="8" t="s">
        <v>4449</v>
      </c>
      <c r="H1371" s="8" t="s">
        <v>22</v>
      </c>
      <c r="I1371" s="8" t="s">
        <v>120</v>
      </c>
      <c r="J1371" s="8" t="s">
        <v>4450</v>
      </c>
      <c r="K1371" s="6" t="s">
        <v>22</v>
      </c>
      <c r="L1371" s="7">
        <v>45643</v>
      </c>
      <c r="M1371" s="6" t="s">
        <v>32</v>
      </c>
      <c r="N1371" s="8" t="s">
        <v>4451</v>
      </c>
      <c r="O1371" s="6">
        <f>HYPERLINK("https://docs.wto.org/imrd/directdoc.asp?DDFDocuments/t/G/SPS/NCHN1321.DOCX", "https://docs.wto.org/imrd/directdoc.asp?DDFDocuments/t/G/SPS/NCHN1321.DOCX")</f>
      </c>
      <c r="P1371" s="6">
        <f>HYPERLINK("https://docs.wto.org/imrd/directdoc.asp?DDFDocuments/u/G/SPS/NCHN1321.DOCX", "https://docs.wto.org/imrd/directdoc.asp?DDFDocuments/u/G/SPS/NCHN1321.DOCX")</f>
      </c>
      <c r="Q1371" s="6">
        <f>HYPERLINK("https://docs.wto.org/imrd/directdoc.asp?DDFDocuments/v/G/SPS/NCHN1321.DOCX", "https://docs.wto.org/imrd/directdoc.asp?DDFDocuments/v/G/SPS/NCHN1321.DOCX")</f>
      </c>
    </row>
    <row r="1372">
      <c r="A1372" s="6" t="s">
        <v>418</v>
      </c>
      <c r="B1372" s="7">
        <v>45583</v>
      </c>
      <c r="C1372" s="9">
        <f>HYPERLINK("https://eping.wto.org/en/Search?viewData= G/SPS/N/EU/798/Corr.1"," G/SPS/N/EU/798/Corr.1")</f>
      </c>
      <c r="D1372" s="8" t="s">
        <v>4452</v>
      </c>
      <c r="E1372" s="8" t="s">
        <v>4453</v>
      </c>
      <c r="F1372" s="8" t="s">
        <v>1665</v>
      </c>
      <c r="G1372" s="8" t="s">
        <v>686</v>
      </c>
      <c r="H1372" s="8" t="s">
        <v>22</v>
      </c>
      <c r="I1372" s="8" t="s">
        <v>128</v>
      </c>
      <c r="J1372" s="8" t="s">
        <v>4454</v>
      </c>
      <c r="K1372" s="6"/>
      <c r="L1372" s="7" t="s">
        <v>22</v>
      </c>
      <c r="M1372" s="6" t="s">
        <v>248</v>
      </c>
      <c r="N1372" s="6"/>
      <c r="O1372" s="6">
        <f>HYPERLINK("https://docs.wto.org/imrd/directdoc.asp?DDFDocuments/t/G/SPS/NEU798C1.DOCX", "https://docs.wto.org/imrd/directdoc.asp?DDFDocuments/t/G/SPS/NEU798C1.DOCX")</f>
      </c>
      <c r="P1372" s="6">
        <f>HYPERLINK("https://docs.wto.org/imrd/directdoc.asp?DDFDocuments/u/G/SPS/NEU798C1.DOCX", "https://docs.wto.org/imrd/directdoc.asp?DDFDocuments/u/G/SPS/NEU798C1.DOCX")</f>
      </c>
      <c r="Q1372" s="6">
        <f>HYPERLINK("https://docs.wto.org/imrd/directdoc.asp?DDFDocuments/v/G/SPS/NEU798C1.DOCX", "https://docs.wto.org/imrd/directdoc.asp?DDFDocuments/v/G/SPS/NEU798C1.DOCX")</f>
      </c>
    </row>
    <row r="1373">
      <c r="A1373" s="6" t="s">
        <v>400</v>
      </c>
      <c r="B1373" s="7">
        <v>45583</v>
      </c>
      <c r="C1373" s="9">
        <f>HYPERLINK("https://eping.wto.org/en/Search?viewData= G/TBT/N/USA/1794/Rev.1/Add.1"," G/TBT/N/USA/1794/Rev.1/Add.1")</f>
      </c>
      <c r="D1373" s="8" t="s">
        <v>4455</v>
      </c>
      <c r="E1373" s="8" t="s">
        <v>4456</v>
      </c>
      <c r="F1373" s="8" t="s">
        <v>4457</v>
      </c>
      <c r="G1373" s="8" t="s">
        <v>22</v>
      </c>
      <c r="H1373" s="8" t="s">
        <v>4458</v>
      </c>
      <c r="I1373" s="8" t="s">
        <v>760</v>
      </c>
      <c r="J1373" s="8" t="s">
        <v>81</v>
      </c>
      <c r="K1373" s="6"/>
      <c r="L1373" s="7" t="s">
        <v>22</v>
      </c>
      <c r="M1373" s="6" t="s">
        <v>40</v>
      </c>
      <c r="N1373" s="8" t="s">
        <v>4459</v>
      </c>
      <c r="O1373" s="6">
        <f>HYPERLINK("https://docs.wto.org/imrd/directdoc.asp?DDFDocuments/t/G/TBTN21/USA1794R1A1.DOCX", "https://docs.wto.org/imrd/directdoc.asp?DDFDocuments/t/G/TBTN21/USA1794R1A1.DOCX")</f>
      </c>
      <c r="P1373" s="6">
        <f>HYPERLINK("https://docs.wto.org/imrd/directdoc.asp?DDFDocuments/u/G/TBTN21/USA1794R1A1.DOCX", "https://docs.wto.org/imrd/directdoc.asp?DDFDocuments/u/G/TBTN21/USA1794R1A1.DOCX")</f>
      </c>
      <c r="Q1373" s="6">
        <f>HYPERLINK("https://docs.wto.org/imrd/directdoc.asp?DDFDocuments/v/G/TBTN21/USA1794R1A1.DOCX", "https://docs.wto.org/imrd/directdoc.asp?DDFDocuments/v/G/TBTN21/USA1794R1A1.DOCX")</f>
      </c>
    </row>
    <row r="1374">
      <c r="A1374" s="6" t="s">
        <v>400</v>
      </c>
      <c r="B1374" s="7">
        <v>45583</v>
      </c>
      <c r="C1374" s="9">
        <f>HYPERLINK("https://eping.wto.org/en/Search?viewData= G/TBT/N/USA/945/Rev.1/Add.2"," G/TBT/N/USA/945/Rev.1/Add.2")</f>
      </c>
      <c r="D1374" s="8" t="s">
        <v>4460</v>
      </c>
      <c r="E1374" s="8" t="s">
        <v>4461</v>
      </c>
      <c r="F1374" s="8" t="s">
        <v>4462</v>
      </c>
      <c r="G1374" s="8" t="s">
        <v>4463</v>
      </c>
      <c r="H1374" s="8" t="s">
        <v>4464</v>
      </c>
      <c r="I1374" s="8" t="s">
        <v>619</v>
      </c>
      <c r="J1374" s="8" t="s">
        <v>22</v>
      </c>
      <c r="K1374" s="6"/>
      <c r="L1374" s="7" t="s">
        <v>22</v>
      </c>
      <c r="M1374" s="6" t="s">
        <v>40</v>
      </c>
      <c r="N1374" s="8" t="s">
        <v>4465</v>
      </c>
      <c r="O1374" s="6">
        <f>HYPERLINK("https://docs.wto.org/imrd/directdoc.asp?DDFDocuments/t/G/TBTN15/USA945R1A2.DOCX", "https://docs.wto.org/imrd/directdoc.asp?DDFDocuments/t/G/TBTN15/USA945R1A2.DOCX")</f>
      </c>
      <c r="P1374" s="6">
        <f>HYPERLINK("https://docs.wto.org/imrd/directdoc.asp?DDFDocuments/u/G/TBTN15/USA945R1A2.DOCX", "https://docs.wto.org/imrd/directdoc.asp?DDFDocuments/u/G/TBTN15/USA945R1A2.DOCX")</f>
      </c>
      <c r="Q1374" s="6">
        <f>HYPERLINK("https://docs.wto.org/imrd/directdoc.asp?DDFDocuments/v/G/TBTN15/USA945R1A2.DOCX", "https://docs.wto.org/imrd/directdoc.asp?DDFDocuments/v/G/TBTN15/USA945R1A2.DOCX")</f>
      </c>
    </row>
    <row r="1375">
      <c r="A1375" s="6" t="s">
        <v>60</v>
      </c>
      <c r="B1375" s="7">
        <v>45583</v>
      </c>
      <c r="C1375" s="9">
        <f>HYPERLINK("https://eping.wto.org/en/Search?viewData= G/TBT/N/BDI/235/Add.2, G/TBT/N/KEN/1252/Add.2, G/TBT/N/RWA/665/Add.2, G/TBT/N/TZA/775/Add.2, G/TBT/N/UGA/1588/Add.2"," G/TBT/N/BDI/235/Add.2, G/TBT/N/KEN/1252/Add.2, G/TBT/N/RWA/665/Add.2, G/TBT/N/TZA/775/Add.2, G/TBT/N/UGA/1588/Add.2")</f>
      </c>
      <c r="D1375" s="8" t="s">
        <v>4406</v>
      </c>
      <c r="E1375" s="8" t="s">
        <v>4407</v>
      </c>
      <c r="F1375" s="8" t="s">
        <v>4408</v>
      </c>
      <c r="G1375" s="8" t="s">
        <v>4409</v>
      </c>
      <c r="H1375" s="8" t="s">
        <v>4299</v>
      </c>
      <c r="I1375" s="8" t="s">
        <v>4466</v>
      </c>
      <c r="J1375" s="8" t="s">
        <v>4467</v>
      </c>
      <c r="K1375" s="6"/>
      <c r="L1375" s="7" t="s">
        <v>22</v>
      </c>
      <c r="M1375" s="6" t="s">
        <v>40</v>
      </c>
      <c r="N1375" s="6"/>
      <c r="O1375" s="6">
        <f>HYPERLINK("https://docs.wto.org/imrd/directdoc.asp?DDFDocuments/t/G/TBTN22/BDI235A2.DOCX", "https://docs.wto.org/imrd/directdoc.asp?DDFDocuments/t/G/TBTN22/BDI235A2.DOCX")</f>
      </c>
      <c r="P1375" s="6">
        <f>HYPERLINK("https://docs.wto.org/imrd/directdoc.asp?DDFDocuments/u/G/TBTN22/BDI235A2.DOCX", "https://docs.wto.org/imrd/directdoc.asp?DDFDocuments/u/G/TBTN22/BDI235A2.DOCX")</f>
      </c>
      <c r="Q1375" s="6">
        <f>HYPERLINK("https://docs.wto.org/imrd/directdoc.asp?DDFDocuments/v/G/TBTN22/BDI235A2.DOCX", "https://docs.wto.org/imrd/directdoc.asp?DDFDocuments/v/G/TBTN22/BDI235A2.DOCX")</f>
      </c>
    </row>
    <row r="1376">
      <c r="A1376" s="6" t="s">
        <v>26</v>
      </c>
      <c r="B1376" s="7">
        <v>45583</v>
      </c>
      <c r="C1376" s="9">
        <f>HYPERLINK("https://eping.wto.org/en/Search?viewData= G/TBT/N/BDI/523, G/TBT/N/KEN/1696, G/TBT/N/RWA/1089, G/TBT/N/TZA/1189, G/TBT/N/UGA/2033"," G/TBT/N/BDI/523, G/TBT/N/KEN/1696, G/TBT/N/RWA/1089, G/TBT/N/TZA/1189, G/TBT/N/UGA/2033")</f>
      </c>
      <c r="D1376" s="8" t="s">
        <v>4411</v>
      </c>
      <c r="E1376" s="8" t="s">
        <v>4412</v>
      </c>
      <c r="F1376" s="8" t="s">
        <v>4413</v>
      </c>
      <c r="G1376" s="8" t="s">
        <v>4414</v>
      </c>
      <c r="H1376" s="8" t="s">
        <v>4415</v>
      </c>
      <c r="I1376" s="8" t="s">
        <v>4253</v>
      </c>
      <c r="J1376" s="8" t="s">
        <v>22</v>
      </c>
      <c r="K1376" s="6"/>
      <c r="L1376" s="7">
        <v>45643</v>
      </c>
      <c r="M1376" s="6" t="s">
        <v>32</v>
      </c>
      <c r="N1376" s="8" t="s">
        <v>4416</v>
      </c>
      <c r="O1376" s="6">
        <f>HYPERLINK("https://docs.wto.org/imrd/directdoc.asp?DDFDocuments/t/G/TBTN24/BDI523.DOCX", "https://docs.wto.org/imrd/directdoc.asp?DDFDocuments/t/G/TBTN24/BDI523.DOCX")</f>
      </c>
      <c r="P1376" s="6">
        <f>HYPERLINK("https://docs.wto.org/imrd/directdoc.asp?DDFDocuments/u/G/TBTN24/BDI523.DOCX", "https://docs.wto.org/imrd/directdoc.asp?DDFDocuments/u/G/TBTN24/BDI523.DOCX")</f>
      </c>
      <c r="Q1376" s="6">
        <f>HYPERLINK("https://docs.wto.org/imrd/directdoc.asp?DDFDocuments/v/G/TBTN24/BDI523.DOCX", "https://docs.wto.org/imrd/directdoc.asp?DDFDocuments/v/G/TBTN24/BDI523.DOCX")</f>
      </c>
    </row>
    <row r="1377">
      <c r="A1377" s="6" t="s">
        <v>49</v>
      </c>
      <c r="B1377" s="7">
        <v>45583</v>
      </c>
      <c r="C1377" s="9">
        <f>HYPERLINK("https://eping.wto.org/en/Search?viewData= G/TBT/N/BDI/521, G/TBT/N/KEN/1694, G/TBT/N/RWA/1087, G/TBT/N/TZA/1187, G/TBT/N/UGA/2031"," G/TBT/N/BDI/521, G/TBT/N/KEN/1694, G/TBT/N/RWA/1087, G/TBT/N/TZA/1187, G/TBT/N/UGA/2031")</f>
      </c>
      <c r="D1377" s="8" t="s">
        <v>4430</v>
      </c>
      <c r="E1377" s="8" t="s">
        <v>4431</v>
      </c>
      <c r="F1377" s="8" t="s">
        <v>4432</v>
      </c>
      <c r="G1377" s="8" t="s">
        <v>4420</v>
      </c>
      <c r="H1377" s="8" t="s">
        <v>4421</v>
      </c>
      <c r="I1377" s="8" t="s">
        <v>4422</v>
      </c>
      <c r="J1377" s="8" t="s">
        <v>22</v>
      </c>
      <c r="K1377" s="6"/>
      <c r="L1377" s="7">
        <v>45643</v>
      </c>
      <c r="M1377" s="6" t="s">
        <v>32</v>
      </c>
      <c r="N1377" s="8" t="s">
        <v>4433</v>
      </c>
      <c r="O1377" s="6">
        <f>HYPERLINK("https://docs.wto.org/imrd/directdoc.asp?DDFDocuments/t/G/TBTN24/BDI521.DOCX", "https://docs.wto.org/imrd/directdoc.asp?DDFDocuments/t/G/TBTN24/BDI521.DOCX")</f>
      </c>
      <c r="P1377" s="6">
        <f>HYPERLINK("https://docs.wto.org/imrd/directdoc.asp?DDFDocuments/u/G/TBTN24/BDI521.DOCX", "https://docs.wto.org/imrd/directdoc.asp?DDFDocuments/u/G/TBTN24/BDI521.DOCX")</f>
      </c>
      <c r="Q1377" s="6">
        <f>HYPERLINK("https://docs.wto.org/imrd/directdoc.asp?DDFDocuments/v/G/TBTN24/BDI521.DOCX", "https://docs.wto.org/imrd/directdoc.asp?DDFDocuments/v/G/TBTN24/BDI521.DOCX")</f>
      </c>
    </row>
    <row r="1378">
      <c r="A1378" s="6" t="s">
        <v>152</v>
      </c>
      <c r="B1378" s="7">
        <v>45583</v>
      </c>
      <c r="C1378" s="9">
        <f>HYPERLINK("https://eping.wto.org/en/Search?viewData= G/SPS/N/PER/1064"," G/SPS/N/PER/1064")</f>
      </c>
      <c r="D1378" s="8" t="s">
        <v>4468</v>
      </c>
      <c r="E1378" s="8" t="s">
        <v>4469</v>
      </c>
      <c r="F1378" s="8" t="s">
        <v>4470</v>
      </c>
      <c r="G1378" s="8" t="s">
        <v>2974</v>
      </c>
      <c r="H1378" s="8" t="s">
        <v>22</v>
      </c>
      <c r="I1378" s="8" t="s">
        <v>128</v>
      </c>
      <c r="J1378" s="8" t="s">
        <v>1262</v>
      </c>
      <c r="K1378" s="6" t="s">
        <v>513</v>
      </c>
      <c r="L1378" s="7">
        <v>45672</v>
      </c>
      <c r="M1378" s="6" t="s">
        <v>32</v>
      </c>
      <c r="N1378" s="8" t="s">
        <v>4471</v>
      </c>
      <c r="O1378" s="6">
        <f>HYPERLINK("https://docs.wto.org/imrd/directdoc.asp?DDFDocuments/t/G/SPS/NPER1064.DOCX", "https://docs.wto.org/imrd/directdoc.asp?DDFDocuments/t/G/SPS/NPER1064.DOCX")</f>
      </c>
      <c r="P1378" s="6">
        <f>HYPERLINK("https://docs.wto.org/imrd/directdoc.asp?DDFDocuments/u/G/SPS/NPER1064.DOCX", "https://docs.wto.org/imrd/directdoc.asp?DDFDocuments/u/G/SPS/NPER1064.DOCX")</f>
      </c>
      <c r="Q1378" s="6">
        <f>HYPERLINK("https://docs.wto.org/imrd/directdoc.asp?DDFDocuments/v/G/SPS/NPER1064.DOCX", "https://docs.wto.org/imrd/directdoc.asp?DDFDocuments/v/G/SPS/NPER1064.DOCX")</f>
      </c>
    </row>
    <row r="1379">
      <c r="A1379" s="6" t="s">
        <v>513</v>
      </c>
      <c r="B1379" s="7">
        <v>45583</v>
      </c>
      <c r="C1379" s="9">
        <f>HYPERLINK("https://eping.wto.org/en/Search?viewData= G/TBT/N/IND/347"," G/TBT/N/IND/347")</f>
      </c>
      <c r="D1379" s="8" t="s">
        <v>4472</v>
      </c>
      <c r="E1379" s="8" t="s">
        <v>4473</v>
      </c>
      <c r="F1379" s="8" t="s">
        <v>4474</v>
      </c>
      <c r="G1379" s="8" t="s">
        <v>22</v>
      </c>
      <c r="H1379" s="8" t="s">
        <v>1036</v>
      </c>
      <c r="I1379" s="8" t="s">
        <v>641</v>
      </c>
      <c r="J1379" s="8" t="s">
        <v>22</v>
      </c>
      <c r="K1379" s="6"/>
      <c r="L1379" s="7">
        <v>45643</v>
      </c>
      <c r="M1379" s="6" t="s">
        <v>32</v>
      </c>
      <c r="N1379" s="8" t="s">
        <v>4475</v>
      </c>
      <c r="O1379" s="6">
        <f>HYPERLINK("https://docs.wto.org/imrd/directdoc.asp?DDFDocuments/t/G/TBTN24/IND347.DOCX", "https://docs.wto.org/imrd/directdoc.asp?DDFDocuments/t/G/TBTN24/IND347.DOCX")</f>
      </c>
      <c r="P1379" s="6">
        <f>HYPERLINK("https://docs.wto.org/imrd/directdoc.asp?DDFDocuments/u/G/TBTN24/IND347.DOCX", "https://docs.wto.org/imrd/directdoc.asp?DDFDocuments/u/G/TBTN24/IND347.DOCX")</f>
      </c>
      <c r="Q1379" s="6">
        <f>HYPERLINK("https://docs.wto.org/imrd/directdoc.asp?DDFDocuments/v/G/TBTN24/IND347.DOCX", "https://docs.wto.org/imrd/directdoc.asp?DDFDocuments/v/G/TBTN24/IND347.DOCX")</f>
      </c>
    </row>
    <row r="1380">
      <c r="A1380" s="6" t="s">
        <v>26</v>
      </c>
      <c r="B1380" s="7">
        <v>45583</v>
      </c>
      <c r="C1380" s="9">
        <f>HYPERLINK("https://eping.wto.org/en/Search?viewData= G/TBT/N/BDI/235/Add.2, G/TBT/N/KEN/1252/Add.2, G/TBT/N/RWA/665/Add.2, G/TBT/N/TZA/775/Add.2, G/TBT/N/UGA/1588/Add.2"," G/TBT/N/BDI/235/Add.2, G/TBT/N/KEN/1252/Add.2, G/TBT/N/RWA/665/Add.2, G/TBT/N/TZA/775/Add.2, G/TBT/N/UGA/1588/Add.2")</f>
      </c>
      <c r="D1380" s="8" t="s">
        <v>4406</v>
      </c>
      <c r="E1380" s="8" t="s">
        <v>4407</v>
      </c>
      <c r="F1380" s="8" t="s">
        <v>4408</v>
      </c>
      <c r="G1380" s="8" t="s">
        <v>4409</v>
      </c>
      <c r="H1380" s="8" t="s">
        <v>4299</v>
      </c>
      <c r="I1380" s="8" t="s">
        <v>4466</v>
      </c>
      <c r="J1380" s="8" t="s">
        <v>4467</v>
      </c>
      <c r="K1380" s="6"/>
      <c r="L1380" s="7" t="s">
        <v>22</v>
      </c>
      <c r="M1380" s="6" t="s">
        <v>40</v>
      </c>
      <c r="N1380" s="6"/>
      <c r="O1380" s="6">
        <f>HYPERLINK("https://docs.wto.org/imrd/directdoc.asp?DDFDocuments/t/G/TBTN22/BDI235A2.DOCX", "https://docs.wto.org/imrd/directdoc.asp?DDFDocuments/t/G/TBTN22/BDI235A2.DOCX")</f>
      </c>
      <c r="P1380" s="6">
        <f>HYPERLINK("https://docs.wto.org/imrd/directdoc.asp?DDFDocuments/u/G/TBTN22/BDI235A2.DOCX", "https://docs.wto.org/imrd/directdoc.asp?DDFDocuments/u/G/TBTN22/BDI235A2.DOCX")</f>
      </c>
      <c r="Q1380" s="6">
        <f>HYPERLINK("https://docs.wto.org/imrd/directdoc.asp?DDFDocuments/v/G/TBTN22/BDI235A2.DOCX", "https://docs.wto.org/imrd/directdoc.asp?DDFDocuments/v/G/TBTN22/BDI235A2.DOCX")</f>
      </c>
    </row>
    <row r="1381">
      <c r="A1381" s="6" t="s">
        <v>60</v>
      </c>
      <c r="B1381" s="7">
        <v>45583</v>
      </c>
      <c r="C1381" s="9">
        <f>HYPERLINK("https://eping.wto.org/en/Search?viewData= G/TBT/N/BDI/523, G/TBT/N/KEN/1696, G/TBT/N/RWA/1089, G/TBT/N/TZA/1189, G/TBT/N/UGA/2033"," G/TBT/N/BDI/523, G/TBT/N/KEN/1696, G/TBT/N/RWA/1089, G/TBT/N/TZA/1189, G/TBT/N/UGA/2033")</f>
      </c>
      <c r="D1381" s="8" t="s">
        <v>4411</v>
      </c>
      <c r="E1381" s="8" t="s">
        <v>4412</v>
      </c>
      <c r="F1381" s="8" t="s">
        <v>4413</v>
      </c>
      <c r="G1381" s="8" t="s">
        <v>4414</v>
      </c>
      <c r="H1381" s="8" t="s">
        <v>4415</v>
      </c>
      <c r="I1381" s="8" t="s">
        <v>4253</v>
      </c>
      <c r="J1381" s="8" t="s">
        <v>22</v>
      </c>
      <c r="K1381" s="6"/>
      <c r="L1381" s="7">
        <v>45643</v>
      </c>
      <c r="M1381" s="6" t="s">
        <v>32</v>
      </c>
      <c r="N1381" s="8" t="s">
        <v>4416</v>
      </c>
      <c r="O1381" s="6">
        <f>HYPERLINK("https://docs.wto.org/imrd/directdoc.asp?DDFDocuments/t/G/TBTN24/BDI523.DOCX", "https://docs.wto.org/imrd/directdoc.asp?DDFDocuments/t/G/TBTN24/BDI523.DOCX")</f>
      </c>
      <c r="P1381" s="6">
        <f>HYPERLINK("https://docs.wto.org/imrd/directdoc.asp?DDFDocuments/u/G/TBTN24/BDI523.DOCX", "https://docs.wto.org/imrd/directdoc.asp?DDFDocuments/u/G/TBTN24/BDI523.DOCX")</f>
      </c>
      <c r="Q1381" s="6">
        <f>HYPERLINK("https://docs.wto.org/imrd/directdoc.asp?DDFDocuments/v/G/TBTN24/BDI523.DOCX", "https://docs.wto.org/imrd/directdoc.asp?DDFDocuments/v/G/TBTN24/BDI523.DOCX")</f>
      </c>
    </row>
    <row r="1382">
      <c r="A1382" s="6" t="s">
        <v>53</v>
      </c>
      <c r="B1382" s="7">
        <v>45583</v>
      </c>
      <c r="C1382" s="9">
        <f>HYPERLINK("https://eping.wto.org/en/Search?viewData= G/TBT/N/KEN/1690"," G/TBT/N/KEN/1690")</f>
      </c>
      <c r="D1382" s="8" t="s">
        <v>4476</v>
      </c>
      <c r="E1382" s="8" t="s">
        <v>4477</v>
      </c>
      <c r="F1382" s="8" t="s">
        <v>4478</v>
      </c>
      <c r="G1382" s="8" t="s">
        <v>4479</v>
      </c>
      <c r="H1382" s="8" t="s">
        <v>2363</v>
      </c>
      <c r="I1382" s="8" t="s">
        <v>1805</v>
      </c>
      <c r="J1382" s="8" t="s">
        <v>58</v>
      </c>
      <c r="K1382" s="6"/>
      <c r="L1382" s="7">
        <v>45643</v>
      </c>
      <c r="M1382" s="6" t="s">
        <v>32</v>
      </c>
      <c r="N1382" s="8" t="s">
        <v>4480</v>
      </c>
      <c r="O1382" s="6">
        <f>HYPERLINK("https://docs.wto.org/imrd/directdoc.asp?DDFDocuments/t/G/TBTN24/KEN1690.DOCX", "https://docs.wto.org/imrd/directdoc.asp?DDFDocuments/t/G/TBTN24/KEN1690.DOCX")</f>
      </c>
      <c r="P1382" s="6">
        <f>HYPERLINK("https://docs.wto.org/imrd/directdoc.asp?DDFDocuments/u/G/TBTN24/KEN1690.DOCX", "https://docs.wto.org/imrd/directdoc.asp?DDFDocuments/u/G/TBTN24/KEN1690.DOCX")</f>
      </c>
      <c r="Q1382" s="6">
        <f>HYPERLINK("https://docs.wto.org/imrd/directdoc.asp?DDFDocuments/v/G/TBTN24/KEN1690.DOCX", "https://docs.wto.org/imrd/directdoc.asp?DDFDocuments/v/G/TBTN24/KEN1690.DOCX")</f>
      </c>
    </row>
    <row r="1383">
      <c r="A1383" s="6" t="s">
        <v>60</v>
      </c>
      <c r="B1383" s="7">
        <v>45583</v>
      </c>
      <c r="C1383" s="9">
        <f>HYPERLINK("https://eping.wto.org/en/Search?viewData= G/TBT/N/BDI/236/Add.2, G/TBT/N/KEN/1253/Add.2, G/TBT/N/RWA/666/Add.2, G/TBT/N/TZA/776/Add.2, G/TBT/N/UGA/1589/Add.2"," G/TBT/N/BDI/236/Add.2, G/TBT/N/KEN/1253/Add.2, G/TBT/N/RWA/666/Add.2, G/TBT/N/TZA/776/Add.2, G/TBT/N/UGA/1589/Add.2")</f>
      </c>
      <c r="D1383" s="8" t="s">
        <v>4481</v>
      </c>
      <c r="E1383" s="8" t="s">
        <v>4482</v>
      </c>
      <c r="F1383" s="8" t="s">
        <v>4408</v>
      </c>
      <c r="G1383" s="8" t="s">
        <v>4409</v>
      </c>
      <c r="H1383" s="8" t="s">
        <v>4299</v>
      </c>
      <c r="I1383" s="8" t="s">
        <v>4361</v>
      </c>
      <c r="J1383" s="8" t="s">
        <v>4301</v>
      </c>
      <c r="K1383" s="6"/>
      <c r="L1383" s="7" t="s">
        <v>22</v>
      </c>
      <c r="M1383" s="6" t="s">
        <v>40</v>
      </c>
      <c r="N1383" s="6"/>
      <c r="O1383" s="6">
        <f>HYPERLINK("https://docs.wto.org/imrd/directdoc.asp?DDFDocuments/t/G/TBTN22/BDI236A2.DOCX", "https://docs.wto.org/imrd/directdoc.asp?DDFDocuments/t/G/TBTN22/BDI236A2.DOCX")</f>
      </c>
      <c r="P1383" s="6">
        <f>HYPERLINK("https://docs.wto.org/imrd/directdoc.asp?DDFDocuments/u/G/TBTN22/BDI236A2.DOCX", "https://docs.wto.org/imrd/directdoc.asp?DDFDocuments/u/G/TBTN22/BDI236A2.DOCX")</f>
      </c>
      <c r="Q1383" s="6">
        <f>HYPERLINK("https://docs.wto.org/imrd/directdoc.asp?DDFDocuments/v/G/TBTN22/BDI236A2.DOCX", "https://docs.wto.org/imrd/directdoc.asp?DDFDocuments/v/G/TBTN22/BDI236A2.DOCX")</f>
      </c>
    </row>
    <row r="1384">
      <c r="A1384" s="6" t="s">
        <v>49</v>
      </c>
      <c r="B1384" s="7">
        <v>45583</v>
      </c>
      <c r="C1384" s="9">
        <f>HYPERLINK("https://eping.wto.org/en/Search?viewData= G/TBT/N/BDI/236/Add.2, G/TBT/N/KEN/1253/Add.2, G/TBT/N/RWA/666/Add.2, G/TBT/N/TZA/776/Add.2, G/TBT/N/UGA/1589/Add.2"," G/TBT/N/BDI/236/Add.2, G/TBT/N/KEN/1253/Add.2, G/TBT/N/RWA/666/Add.2, G/TBT/N/TZA/776/Add.2, G/TBT/N/UGA/1589/Add.2")</f>
      </c>
      <c r="D1384" s="8" t="s">
        <v>4481</v>
      </c>
      <c r="E1384" s="8" t="s">
        <v>4482</v>
      </c>
      <c r="F1384" s="8" t="s">
        <v>4408</v>
      </c>
      <c r="G1384" s="8" t="s">
        <v>4409</v>
      </c>
      <c r="H1384" s="8" t="s">
        <v>4299</v>
      </c>
      <c r="I1384" s="8" t="s">
        <v>4361</v>
      </c>
      <c r="J1384" s="8" t="s">
        <v>4301</v>
      </c>
      <c r="K1384" s="6"/>
      <c r="L1384" s="7" t="s">
        <v>22</v>
      </c>
      <c r="M1384" s="6" t="s">
        <v>40</v>
      </c>
      <c r="N1384" s="6"/>
      <c r="O1384" s="6">
        <f>HYPERLINK("https://docs.wto.org/imrd/directdoc.asp?DDFDocuments/t/G/TBTN22/BDI236A2.DOCX", "https://docs.wto.org/imrd/directdoc.asp?DDFDocuments/t/G/TBTN22/BDI236A2.DOCX")</f>
      </c>
      <c r="P1384" s="6">
        <f>HYPERLINK("https://docs.wto.org/imrd/directdoc.asp?DDFDocuments/u/G/TBTN22/BDI236A2.DOCX", "https://docs.wto.org/imrd/directdoc.asp?DDFDocuments/u/G/TBTN22/BDI236A2.DOCX")</f>
      </c>
      <c r="Q1384" s="6">
        <f>HYPERLINK("https://docs.wto.org/imrd/directdoc.asp?DDFDocuments/v/G/TBTN22/BDI236A2.DOCX", "https://docs.wto.org/imrd/directdoc.asp?DDFDocuments/v/G/TBTN22/BDI236A2.DOCX")</f>
      </c>
    </row>
    <row r="1385">
      <c r="A1385" s="6" t="s">
        <v>53</v>
      </c>
      <c r="B1385" s="7">
        <v>45583</v>
      </c>
      <c r="C1385" s="9">
        <f>HYPERLINK("https://eping.wto.org/en/Search?viewData= G/TBT/N/BDI/524, G/TBT/N/KEN/1697, G/TBT/N/RWA/1090, G/TBT/N/TZA/1190, G/TBT/N/UGA/2034"," G/TBT/N/BDI/524, G/TBT/N/KEN/1697, G/TBT/N/RWA/1090, G/TBT/N/TZA/1190, G/TBT/N/UGA/2034")</f>
      </c>
      <c r="D1385" s="8" t="s">
        <v>4434</v>
      </c>
      <c r="E1385" s="8" t="s">
        <v>4435</v>
      </c>
      <c r="F1385" s="8" t="s">
        <v>4426</v>
      </c>
      <c r="G1385" s="8" t="s">
        <v>4427</v>
      </c>
      <c r="H1385" s="8" t="s">
        <v>4421</v>
      </c>
      <c r="I1385" s="8" t="s">
        <v>4428</v>
      </c>
      <c r="J1385" s="8" t="s">
        <v>22</v>
      </c>
      <c r="K1385" s="6"/>
      <c r="L1385" s="7">
        <v>45643</v>
      </c>
      <c r="M1385" s="6" t="s">
        <v>32</v>
      </c>
      <c r="N1385" s="8" t="s">
        <v>4436</v>
      </c>
      <c r="O1385" s="6">
        <f>HYPERLINK("https://docs.wto.org/imrd/directdoc.asp?DDFDocuments/t/G/TBTN24/BDI524.DOCX", "https://docs.wto.org/imrd/directdoc.asp?DDFDocuments/t/G/TBTN24/BDI524.DOCX")</f>
      </c>
      <c r="P1385" s="6">
        <f>HYPERLINK("https://docs.wto.org/imrd/directdoc.asp?DDFDocuments/u/G/TBTN24/BDI524.DOCX", "https://docs.wto.org/imrd/directdoc.asp?DDFDocuments/u/G/TBTN24/BDI524.DOCX")</f>
      </c>
      <c r="Q1385" s="6">
        <f>HYPERLINK("https://docs.wto.org/imrd/directdoc.asp?DDFDocuments/v/G/TBTN24/BDI524.DOCX", "https://docs.wto.org/imrd/directdoc.asp?DDFDocuments/v/G/TBTN24/BDI524.DOCX")</f>
      </c>
    </row>
    <row r="1386">
      <c r="A1386" s="6" t="s">
        <v>68</v>
      </c>
      <c r="B1386" s="7">
        <v>45583</v>
      </c>
      <c r="C1386" s="9">
        <f>HYPERLINK("https://eping.wto.org/en/Search?viewData= G/TBT/N/BDI/524, G/TBT/N/KEN/1697, G/TBT/N/RWA/1090, G/TBT/N/TZA/1190, G/TBT/N/UGA/2034"," G/TBT/N/BDI/524, G/TBT/N/KEN/1697, G/TBT/N/RWA/1090, G/TBT/N/TZA/1190, G/TBT/N/UGA/2034")</f>
      </c>
      <c r="D1386" s="8" t="s">
        <v>4434</v>
      </c>
      <c r="E1386" s="8" t="s">
        <v>4435</v>
      </c>
      <c r="F1386" s="8" t="s">
        <v>4426</v>
      </c>
      <c r="G1386" s="8" t="s">
        <v>4427</v>
      </c>
      <c r="H1386" s="8" t="s">
        <v>4421</v>
      </c>
      <c r="I1386" s="8" t="s">
        <v>4428</v>
      </c>
      <c r="J1386" s="8" t="s">
        <v>22</v>
      </c>
      <c r="K1386" s="6"/>
      <c r="L1386" s="7">
        <v>45643</v>
      </c>
      <c r="M1386" s="6" t="s">
        <v>32</v>
      </c>
      <c r="N1386" s="8" t="s">
        <v>4436</v>
      </c>
      <c r="O1386" s="6">
        <f>HYPERLINK("https://docs.wto.org/imrd/directdoc.asp?DDFDocuments/t/G/TBTN24/BDI524.DOCX", "https://docs.wto.org/imrd/directdoc.asp?DDFDocuments/t/G/TBTN24/BDI524.DOCX")</f>
      </c>
      <c r="P1386" s="6">
        <f>HYPERLINK("https://docs.wto.org/imrd/directdoc.asp?DDFDocuments/u/G/TBTN24/BDI524.DOCX", "https://docs.wto.org/imrd/directdoc.asp?DDFDocuments/u/G/TBTN24/BDI524.DOCX")</f>
      </c>
      <c r="Q1386" s="6">
        <f>HYPERLINK("https://docs.wto.org/imrd/directdoc.asp?DDFDocuments/v/G/TBTN24/BDI524.DOCX", "https://docs.wto.org/imrd/directdoc.asp?DDFDocuments/v/G/TBTN24/BDI524.DOCX")</f>
      </c>
    </row>
    <row r="1387">
      <c r="A1387" s="6" t="s">
        <v>53</v>
      </c>
      <c r="B1387" s="7">
        <v>45583</v>
      </c>
      <c r="C1387" s="9">
        <f>HYPERLINK("https://eping.wto.org/en/Search?viewData= G/TBT/N/KEN/1692"," G/TBT/N/KEN/1692")</f>
      </c>
      <c r="D1387" s="8" t="s">
        <v>4483</v>
      </c>
      <c r="E1387" s="8" t="s">
        <v>2989</v>
      </c>
      <c r="F1387" s="8" t="s">
        <v>4484</v>
      </c>
      <c r="G1387" s="8" t="s">
        <v>4485</v>
      </c>
      <c r="H1387" s="8" t="s">
        <v>115</v>
      </c>
      <c r="I1387" s="8" t="s">
        <v>1805</v>
      </c>
      <c r="J1387" s="8" t="s">
        <v>58</v>
      </c>
      <c r="K1387" s="6"/>
      <c r="L1387" s="7">
        <v>45643</v>
      </c>
      <c r="M1387" s="6" t="s">
        <v>32</v>
      </c>
      <c r="N1387" s="8" t="s">
        <v>4486</v>
      </c>
      <c r="O1387" s="6">
        <f>HYPERLINK("https://docs.wto.org/imrd/directdoc.asp?DDFDocuments/t/G/TBTN24/KEN1692.DOCX", "https://docs.wto.org/imrd/directdoc.asp?DDFDocuments/t/G/TBTN24/KEN1692.DOCX")</f>
      </c>
      <c r="P1387" s="6">
        <f>HYPERLINK("https://docs.wto.org/imrd/directdoc.asp?DDFDocuments/u/G/TBTN24/KEN1692.DOCX", "https://docs.wto.org/imrd/directdoc.asp?DDFDocuments/u/G/TBTN24/KEN1692.DOCX")</f>
      </c>
      <c r="Q1387" s="6">
        <f>HYPERLINK("https://docs.wto.org/imrd/directdoc.asp?DDFDocuments/v/G/TBTN24/KEN1692.DOCX", "https://docs.wto.org/imrd/directdoc.asp?DDFDocuments/v/G/TBTN24/KEN1692.DOCX")</f>
      </c>
    </row>
    <row r="1388">
      <c r="A1388" s="6" t="s">
        <v>104</v>
      </c>
      <c r="B1388" s="7">
        <v>45583</v>
      </c>
      <c r="C1388" s="9">
        <f>HYPERLINK("https://eping.wto.org/en/Search?viewData= G/SPS/N/CHN/1318"," G/SPS/N/CHN/1318")</f>
      </c>
      <c r="D1388" s="8" t="s">
        <v>4487</v>
      </c>
      <c r="E1388" s="8" t="s">
        <v>4488</v>
      </c>
      <c r="F1388" s="8" t="s">
        <v>4489</v>
      </c>
      <c r="G1388" s="8" t="s">
        <v>22</v>
      </c>
      <c r="H1388" s="8" t="s">
        <v>22</v>
      </c>
      <c r="I1388" s="8" t="s">
        <v>120</v>
      </c>
      <c r="J1388" s="8" t="s">
        <v>416</v>
      </c>
      <c r="K1388" s="6" t="s">
        <v>22</v>
      </c>
      <c r="L1388" s="7">
        <v>45643</v>
      </c>
      <c r="M1388" s="6" t="s">
        <v>32</v>
      </c>
      <c r="N1388" s="8" t="s">
        <v>4490</v>
      </c>
      <c r="O1388" s="6">
        <f>HYPERLINK("https://docs.wto.org/imrd/directdoc.asp?DDFDocuments/t/G/SPS/NCHN1318.DOCX", "https://docs.wto.org/imrd/directdoc.asp?DDFDocuments/t/G/SPS/NCHN1318.DOCX")</f>
      </c>
      <c r="P1388" s="6">
        <f>HYPERLINK("https://docs.wto.org/imrd/directdoc.asp?DDFDocuments/u/G/SPS/NCHN1318.DOCX", "https://docs.wto.org/imrd/directdoc.asp?DDFDocuments/u/G/SPS/NCHN1318.DOCX")</f>
      </c>
      <c r="Q1388" s="6">
        <f>HYPERLINK("https://docs.wto.org/imrd/directdoc.asp?DDFDocuments/v/G/SPS/NCHN1318.DOCX", "https://docs.wto.org/imrd/directdoc.asp?DDFDocuments/v/G/SPS/NCHN1318.DOCX")</f>
      </c>
    </row>
    <row r="1389">
      <c r="A1389" s="6" t="s">
        <v>68</v>
      </c>
      <c r="B1389" s="7">
        <v>45583</v>
      </c>
      <c r="C1389" s="9">
        <f>HYPERLINK("https://eping.wto.org/en/Search?viewData= G/TBT/N/BDI/236/Add.2, G/TBT/N/KEN/1253/Add.2, G/TBT/N/RWA/666/Add.2, G/TBT/N/TZA/776/Add.2, G/TBT/N/UGA/1589/Add.2"," G/TBT/N/BDI/236/Add.2, G/TBT/N/KEN/1253/Add.2, G/TBT/N/RWA/666/Add.2, G/TBT/N/TZA/776/Add.2, G/TBT/N/UGA/1589/Add.2")</f>
      </c>
      <c r="D1389" s="8" t="s">
        <v>4481</v>
      </c>
      <c r="E1389" s="8" t="s">
        <v>4482</v>
      </c>
      <c r="F1389" s="8" t="s">
        <v>4408</v>
      </c>
      <c r="G1389" s="8" t="s">
        <v>4409</v>
      </c>
      <c r="H1389" s="8" t="s">
        <v>4299</v>
      </c>
      <c r="I1389" s="8" t="s">
        <v>4344</v>
      </c>
      <c r="J1389" s="8" t="s">
        <v>4301</v>
      </c>
      <c r="K1389" s="6"/>
      <c r="L1389" s="7" t="s">
        <v>22</v>
      </c>
      <c r="M1389" s="6" t="s">
        <v>40</v>
      </c>
      <c r="N1389" s="6"/>
      <c r="O1389" s="6">
        <f>HYPERLINK("https://docs.wto.org/imrd/directdoc.asp?DDFDocuments/t/G/TBTN22/BDI236A2.DOCX", "https://docs.wto.org/imrd/directdoc.asp?DDFDocuments/t/G/TBTN22/BDI236A2.DOCX")</f>
      </c>
      <c r="P1389" s="6">
        <f>HYPERLINK("https://docs.wto.org/imrd/directdoc.asp?DDFDocuments/u/G/TBTN22/BDI236A2.DOCX", "https://docs.wto.org/imrd/directdoc.asp?DDFDocuments/u/G/TBTN22/BDI236A2.DOCX")</f>
      </c>
      <c r="Q1389" s="6">
        <f>HYPERLINK("https://docs.wto.org/imrd/directdoc.asp?DDFDocuments/v/G/TBTN22/BDI236A2.DOCX", "https://docs.wto.org/imrd/directdoc.asp?DDFDocuments/v/G/TBTN22/BDI236A2.DOCX")</f>
      </c>
    </row>
    <row r="1390">
      <c r="A1390" s="6" t="s">
        <v>68</v>
      </c>
      <c r="B1390" s="7">
        <v>45583</v>
      </c>
      <c r="C1390" s="9">
        <f>HYPERLINK("https://eping.wto.org/en/Search?viewData= G/TBT/N/BDI/521, G/TBT/N/KEN/1694, G/TBT/N/RWA/1087, G/TBT/N/TZA/1187, G/TBT/N/UGA/2031"," G/TBT/N/BDI/521, G/TBT/N/KEN/1694, G/TBT/N/RWA/1087, G/TBT/N/TZA/1187, G/TBT/N/UGA/2031")</f>
      </c>
      <c r="D1390" s="8" t="s">
        <v>4430</v>
      </c>
      <c r="E1390" s="8" t="s">
        <v>4431</v>
      </c>
      <c r="F1390" s="8" t="s">
        <v>4432</v>
      </c>
      <c r="G1390" s="8" t="s">
        <v>4420</v>
      </c>
      <c r="H1390" s="8" t="s">
        <v>4421</v>
      </c>
      <c r="I1390" s="8" t="s">
        <v>4422</v>
      </c>
      <c r="J1390" s="8" t="s">
        <v>22</v>
      </c>
      <c r="K1390" s="6"/>
      <c r="L1390" s="7">
        <v>45643</v>
      </c>
      <c r="M1390" s="6" t="s">
        <v>32</v>
      </c>
      <c r="N1390" s="8" t="s">
        <v>4433</v>
      </c>
      <c r="O1390" s="6">
        <f>HYPERLINK("https://docs.wto.org/imrd/directdoc.asp?DDFDocuments/t/G/TBTN24/BDI521.DOCX", "https://docs.wto.org/imrd/directdoc.asp?DDFDocuments/t/G/TBTN24/BDI521.DOCX")</f>
      </c>
      <c r="P1390" s="6">
        <f>HYPERLINK("https://docs.wto.org/imrd/directdoc.asp?DDFDocuments/u/G/TBTN24/BDI521.DOCX", "https://docs.wto.org/imrd/directdoc.asp?DDFDocuments/u/G/TBTN24/BDI521.DOCX")</f>
      </c>
      <c r="Q1390" s="6">
        <f>HYPERLINK("https://docs.wto.org/imrd/directdoc.asp?DDFDocuments/v/G/TBTN24/BDI521.DOCX", "https://docs.wto.org/imrd/directdoc.asp?DDFDocuments/v/G/TBTN24/BDI521.DOCX")</f>
      </c>
    </row>
    <row r="1391">
      <c r="A1391" s="6" t="s">
        <v>60</v>
      </c>
      <c r="B1391" s="7">
        <v>45583</v>
      </c>
      <c r="C1391" s="9">
        <f>HYPERLINK("https://eping.wto.org/en/Search?viewData= G/TBT/N/BDI/524, G/TBT/N/KEN/1697, G/TBT/N/RWA/1090, G/TBT/N/TZA/1190, G/TBT/N/UGA/2034"," G/TBT/N/BDI/524, G/TBT/N/KEN/1697, G/TBT/N/RWA/1090, G/TBT/N/TZA/1190, G/TBT/N/UGA/2034")</f>
      </c>
      <c r="D1391" s="8" t="s">
        <v>4434</v>
      </c>
      <c r="E1391" s="8" t="s">
        <v>4435</v>
      </c>
      <c r="F1391" s="8" t="s">
        <v>4426</v>
      </c>
      <c r="G1391" s="8" t="s">
        <v>4427</v>
      </c>
      <c r="H1391" s="8" t="s">
        <v>4421</v>
      </c>
      <c r="I1391" s="8" t="s">
        <v>4428</v>
      </c>
      <c r="J1391" s="8" t="s">
        <v>22</v>
      </c>
      <c r="K1391" s="6"/>
      <c r="L1391" s="7">
        <v>45643</v>
      </c>
      <c r="M1391" s="6" t="s">
        <v>32</v>
      </c>
      <c r="N1391" s="8" t="s">
        <v>4436</v>
      </c>
      <c r="O1391" s="6">
        <f>HYPERLINK("https://docs.wto.org/imrd/directdoc.asp?DDFDocuments/t/G/TBTN24/BDI524.DOCX", "https://docs.wto.org/imrd/directdoc.asp?DDFDocuments/t/G/TBTN24/BDI524.DOCX")</f>
      </c>
      <c r="P1391" s="6">
        <f>HYPERLINK("https://docs.wto.org/imrd/directdoc.asp?DDFDocuments/u/G/TBTN24/BDI524.DOCX", "https://docs.wto.org/imrd/directdoc.asp?DDFDocuments/u/G/TBTN24/BDI524.DOCX")</f>
      </c>
      <c r="Q1391" s="6">
        <f>HYPERLINK("https://docs.wto.org/imrd/directdoc.asp?DDFDocuments/v/G/TBTN24/BDI524.DOCX", "https://docs.wto.org/imrd/directdoc.asp?DDFDocuments/v/G/TBTN24/BDI524.DOCX")</f>
      </c>
    </row>
    <row r="1392">
      <c r="A1392" s="6" t="s">
        <v>49</v>
      </c>
      <c r="B1392" s="7">
        <v>45583</v>
      </c>
      <c r="C1392" s="9">
        <f>HYPERLINK("https://eping.wto.org/en/Search?viewData= G/TBT/N/BDI/525, G/TBT/N/KEN/1698, G/TBT/N/RWA/1091, G/TBT/N/TZA/1191, G/TBT/N/UGA/2035"," G/TBT/N/BDI/525, G/TBT/N/KEN/1698, G/TBT/N/RWA/1091, G/TBT/N/TZA/1191, G/TBT/N/UGA/2035")</f>
      </c>
      <c r="D1392" s="8" t="s">
        <v>4424</v>
      </c>
      <c r="E1392" s="8" t="s">
        <v>4425</v>
      </c>
      <c r="F1392" s="8" t="s">
        <v>4426</v>
      </c>
      <c r="G1392" s="8" t="s">
        <v>4427</v>
      </c>
      <c r="H1392" s="8" t="s">
        <v>4421</v>
      </c>
      <c r="I1392" s="8" t="s">
        <v>4428</v>
      </c>
      <c r="J1392" s="8" t="s">
        <v>22</v>
      </c>
      <c r="K1392" s="6"/>
      <c r="L1392" s="7">
        <v>45643</v>
      </c>
      <c r="M1392" s="6" t="s">
        <v>32</v>
      </c>
      <c r="N1392" s="8" t="s">
        <v>4429</v>
      </c>
      <c r="O1392" s="6">
        <f>HYPERLINK("https://docs.wto.org/imrd/directdoc.asp?DDFDocuments/t/G/TBTN24/BDI525.DOCX", "https://docs.wto.org/imrd/directdoc.asp?DDFDocuments/t/G/TBTN24/BDI525.DOCX")</f>
      </c>
      <c r="P1392" s="6">
        <f>HYPERLINK("https://docs.wto.org/imrd/directdoc.asp?DDFDocuments/u/G/TBTN24/BDI525.DOCX", "https://docs.wto.org/imrd/directdoc.asp?DDFDocuments/u/G/TBTN24/BDI525.DOCX")</f>
      </c>
      <c r="Q1392" s="6">
        <f>HYPERLINK("https://docs.wto.org/imrd/directdoc.asp?DDFDocuments/v/G/TBTN24/BDI525.DOCX", "https://docs.wto.org/imrd/directdoc.asp?DDFDocuments/v/G/TBTN24/BDI525.DOCX")</f>
      </c>
    </row>
    <row r="1393">
      <c r="A1393" s="6" t="s">
        <v>400</v>
      </c>
      <c r="B1393" s="7">
        <v>45583</v>
      </c>
      <c r="C1393" s="9">
        <f>HYPERLINK("https://eping.wto.org/en/Search?viewData= G/TBT/N/USA/1958/Add.3"," G/TBT/N/USA/1958/Add.3")</f>
      </c>
      <c r="D1393" s="8" t="s">
        <v>1416</v>
      </c>
      <c r="E1393" s="8" t="s">
        <v>4491</v>
      </c>
      <c r="F1393" s="8" t="s">
        <v>1418</v>
      </c>
      <c r="G1393" s="8" t="s">
        <v>22</v>
      </c>
      <c r="H1393" s="8" t="s">
        <v>1419</v>
      </c>
      <c r="I1393" s="8" t="s">
        <v>511</v>
      </c>
      <c r="J1393" s="8" t="s">
        <v>22</v>
      </c>
      <c r="K1393" s="6"/>
      <c r="L1393" s="7" t="s">
        <v>22</v>
      </c>
      <c r="M1393" s="6" t="s">
        <v>40</v>
      </c>
      <c r="N1393" s="6"/>
      <c r="O1393" s="6">
        <f>HYPERLINK("https://docs.wto.org/imrd/directdoc.asp?DDFDocuments/t/G/TBTN23/USA1958A3.DOCX", "https://docs.wto.org/imrd/directdoc.asp?DDFDocuments/t/G/TBTN23/USA1958A3.DOCX")</f>
      </c>
      <c r="P1393" s="6">
        <f>HYPERLINK("https://docs.wto.org/imrd/directdoc.asp?DDFDocuments/u/G/TBTN23/USA1958A3.DOCX", "https://docs.wto.org/imrd/directdoc.asp?DDFDocuments/u/G/TBTN23/USA1958A3.DOCX")</f>
      </c>
      <c r="Q1393" s="6">
        <f>HYPERLINK("https://docs.wto.org/imrd/directdoc.asp?DDFDocuments/v/G/TBTN23/USA1958A3.DOCX", "https://docs.wto.org/imrd/directdoc.asp?DDFDocuments/v/G/TBTN23/USA1958A3.DOCX")</f>
      </c>
    </row>
    <row r="1394">
      <c r="A1394" s="6" t="s">
        <v>68</v>
      </c>
      <c r="B1394" s="7">
        <v>45583</v>
      </c>
      <c r="C1394" s="9">
        <f>HYPERLINK("https://eping.wto.org/en/Search?viewData= G/TBT/N/BDI/523, G/TBT/N/KEN/1696, G/TBT/N/RWA/1089, G/TBT/N/TZA/1189, G/TBT/N/UGA/2033"," G/TBT/N/BDI/523, G/TBT/N/KEN/1696, G/TBT/N/RWA/1089, G/TBT/N/TZA/1189, G/TBT/N/UGA/2033")</f>
      </c>
      <c r="D1394" s="8" t="s">
        <v>4411</v>
      </c>
      <c r="E1394" s="8" t="s">
        <v>4412</v>
      </c>
      <c r="F1394" s="8" t="s">
        <v>4413</v>
      </c>
      <c r="G1394" s="8" t="s">
        <v>4414</v>
      </c>
      <c r="H1394" s="8" t="s">
        <v>4415</v>
      </c>
      <c r="I1394" s="8" t="s">
        <v>4253</v>
      </c>
      <c r="J1394" s="8" t="s">
        <v>22</v>
      </c>
      <c r="K1394" s="6"/>
      <c r="L1394" s="7">
        <v>45643</v>
      </c>
      <c r="M1394" s="6" t="s">
        <v>32</v>
      </c>
      <c r="N1394" s="8" t="s">
        <v>4416</v>
      </c>
      <c r="O1394" s="6">
        <f>HYPERLINK("https://docs.wto.org/imrd/directdoc.asp?DDFDocuments/t/G/TBTN24/BDI523.DOCX", "https://docs.wto.org/imrd/directdoc.asp?DDFDocuments/t/G/TBTN24/BDI523.DOCX")</f>
      </c>
      <c r="P1394" s="6">
        <f>HYPERLINK("https://docs.wto.org/imrd/directdoc.asp?DDFDocuments/u/G/TBTN24/BDI523.DOCX", "https://docs.wto.org/imrd/directdoc.asp?DDFDocuments/u/G/TBTN24/BDI523.DOCX")</f>
      </c>
      <c r="Q1394" s="6">
        <f>HYPERLINK("https://docs.wto.org/imrd/directdoc.asp?DDFDocuments/v/G/TBTN24/BDI523.DOCX", "https://docs.wto.org/imrd/directdoc.asp?DDFDocuments/v/G/TBTN24/BDI523.DOCX")</f>
      </c>
    </row>
    <row r="1395">
      <c r="A1395" s="6" t="s">
        <v>68</v>
      </c>
      <c r="B1395" s="7">
        <v>45583</v>
      </c>
      <c r="C1395" s="9">
        <f>HYPERLINK("https://eping.wto.org/en/Search?viewData= G/TBT/N/UGA/1610/Add.2"," G/TBT/N/UGA/1610/Add.2")</f>
      </c>
      <c r="D1395" s="8" t="s">
        <v>4492</v>
      </c>
      <c r="E1395" s="8" t="s">
        <v>4493</v>
      </c>
      <c r="F1395" s="8" t="s">
        <v>4494</v>
      </c>
      <c r="G1395" s="8" t="s">
        <v>4495</v>
      </c>
      <c r="H1395" s="8" t="s">
        <v>4496</v>
      </c>
      <c r="I1395" s="8" t="s">
        <v>4497</v>
      </c>
      <c r="J1395" s="8" t="s">
        <v>22</v>
      </c>
      <c r="K1395" s="6"/>
      <c r="L1395" s="7" t="s">
        <v>22</v>
      </c>
      <c r="M1395" s="6" t="s">
        <v>40</v>
      </c>
      <c r="N1395" s="8" t="s">
        <v>4084</v>
      </c>
      <c r="O1395" s="6">
        <f>HYPERLINK("https://docs.wto.org/imrd/directdoc.asp?DDFDocuments/t/G/TBTN22/UGA1610A2.DOCX", "https://docs.wto.org/imrd/directdoc.asp?DDFDocuments/t/G/TBTN22/UGA1610A2.DOCX")</f>
      </c>
      <c r="P1395" s="6">
        <f>HYPERLINK("https://docs.wto.org/imrd/directdoc.asp?DDFDocuments/u/G/TBTN22/UGA1610A2.DOCX", "https://docs.wto.org/imrd/directdoc.asp?DDFDocuments/u/G/TBTN22/UGA1610A2.DOCX")</f>
      </c>
      <c r="Q1395" s="6">
        <f>HYPERLINK("https://docs.wto.org/imrd/directdoc.asp?DDFDocuments/v/G/TBTN22/UGA1610A2.DOCX", "https://docs.wto.org/imrd/directdoc.asp?DDFDocuments/v/G/TBTN22/UGA1610A2.DOCX")</f>
      </c>
    </row>
    <row r="1396">
      <c r="A1396" s="6" t="s">
        <v>49</v>
      </c>
      <c r="B1396" s="7">
        <v>45583</v>
      </c>
      <c r="C1396" s="9">
        <f>HYPERLINK("https://eping.wto.org/en/Search?viewData= G/TBT/N/TZA/1192"," G/TBT/N/TZA/1192")</f>
      </c>
      <c r="D1396" s="8" t="s">
        <v>4498</v>
      </c>
      <c r="E1396" s="8" t="s">
        <v>4499</v>
      </c>
      <c r="F1396" s="8" t="s">
        <v>4500</v>
      </c>
      <c r="G1396" s="8" t="s">
        <v>4501</v>
      </c>
      <c r="H1396" s="8" t="s">
        <v>4502</v>
      </c>
      <c r="I1396" s="8" t="s">
        <v>4503</v>
      </c>
      <c r="J1396" s="8" t="s">
        <v>58</v>
      </c>
      <c r="K1396" s="6"/>
      <c r="L1396" s="7">
        <v>45643</v>
      </c>
      <c r="M1396" s="6" t="s">
        <v>32</v>
      </c>
      <c r="N1396" s="8" t="s">
        <v>4504</v>
      </c>
      <c r="O1396" s="6">
        <f>HYPERLINK("https://docs.wto.org/imrd/directdoc.asp?DDFDocuments/t/G/TBTN24/TZA1192.DOCX", "https://docs.wto.org/imrd/directdoc.asp?DDFDocuments/t/G/TBTN24/TZA1192.DOCX")</f>
      </c>
      <c r="P1396" s="6">
        <f>HYPERLINK("https://docs.wto.org/imrd/directdoc.asp?DDFDocuments/u/G/TBTN24/TZA1192.DOCX", "https://docs.wto.org/imrd/directdoc.asp?DDFDocuments/u/G/TBTN24/TZA1192.DOCX")</f>
      </c>
      <c r="Q1396" s="6">
        <f>HYPERLINK("https://docs.wto.org/imrd/directdoc.asp?DDFDocuments/v/G/TBTN24/TZA1192.DOCX", "https://docs.wto.org/imrd/directdoc.asp?DDFDocuments/v/G/TBTN24/TZA1192.DOCX")</f>
      </c>
    </row>
    <row r="1397">
      <c r="A1397" s="6" t="s">
        <v>68</v>
      </c>
      <c r="B1397" s="7">
        <v>45583</v>
      </c>
      <c r="C1397" s="9">
        <f>HYPERLINK("https://eping.wto.org/en/Search?viewData= G/TBT/N/UGA/1731/Add.1"," G/TBT/N/UGA/1731/Add.1")</f>
      </c>
      <c r="D1397" s="8" t="s">
        <v>4505</v>
      </c>
      <c r="E1397" s="8" t="s">
        <v>4506</v>
      </c>
      <c r="F1397" s="8" t="s">
        <v>4507</v>
      </c>
      <c r="G1397" s="8" t="s">
        <v>4508</v>
      </c>
      <c r="H1397" s="8" t="s">
        <v>4509</v>
      </c>
      <c r="I1397" s="8" t="s">
        <v>4510</v>
      </c>
      <c r="J1397" s="8" t="s">
        <v>22</v>
      </c>
      <c r="K1397" s="6"/>
      <c r="L1397" s="7" t="s">
        <v>22</v>
      </c>
      <c r="M1397" s="6" t="s">
        <v>40</v>
      </c>
      <c r="N1397" s="8" t="s">
        <v>4084</v>
      </c>
      <c r="O1397" s="6">
        <f>HYPERLINK("https://docs.wto.org/imrd/directdoc.asp?DDFDocuments/t/G/TBTN23/UGA1731A1.DOCX", "https://docs.wto.org/imrd/directdoc.asp?DDFDocuments/t/G/TBTN23/UGA1731A1.DOCX")</f>
      </c>
      <c r="P1397" s="6">
        <f>HYPERLINK("https://docs.wto.org/imrd/directdoc.asp?DDFDocuments/u/G/TBTN23/UGA1731A1.DOCX", "https://docs.wto.org/imrd/directdoc.asp?DDFDocuments/u/G/TBTN23/UGA1731A1.DOCX")</f>
      </c>
      <c r="Q1397" s="6">
        <f>HYPERLINK("https://docs.wto.org/imrd/directdoc.asp?DDFDocuments/v/G/TBTN23/UGA1731A1.DOCX", "https://docs.wto.org/imrd/directdoc.asp?DDFDocuments/v/G/TBTN23/UGA1731A1.DOCX")</f>
      </c>
    </row>
    <row r="1398">
      <c r="A1398" s="6" t="s">
        <v>53</v>
      </c>
      <c r="B1398" s="7">
        <v>45583</v>
      </c>
      <c r="C1398" s="9">
        <f>HYPERLINK("https://eping.wto.org/en/Search?viewData= G/TBT/N/BDI/235/Add.2, G/TBT/N/KEN/1252/Add.2, G/TBT/N/RWA/665/Add.2, G/TBT/N/TZA/775/Add.2, G/TBT/N/UGA/1588/Add.2"," G/TBT/N/BDI/235/Add.2, G/TBT/N/KEN/1252/Add.2, G/TBT/N/RWA/665/Add.2, G/TBT/N/TZA/775/Add.2, G/TBT/N/UGA/1588/Add.2")</f>
      </c>
      <c r="D1398" s="8" t="s">
        <v>4406</v>
      </c>
      <c r="E1398" s="8" t="s">
        <v>4407</v>
      </c>
      <c r="F1398" s="8" t="s">
        <v>4408</v>
      </c>
      <c r="G1398" s="8" t="s">
        <v>4409</v>
      </c>
      <c r="H1398" s="8" t="s">
        <v>4299</v>
      </c>
      <c r="I1398" s="8" t="s">
        <v>4466</v>
      </c>
      <c r="J1398" s="8" t="s">
        <v>4467</v>
      </c>
      <c r="K1398" s="6"/>
      <c r="L1398" s="7" t="s">
        <v>22</v>
      </c>
      <c r="M1398" s="6" t="s">
        <v>40</v>
      </c>
      <c r="N1398" s="6"/>
      <c r="O1398" s="6">
        <f>HYPERLINK("https://docs.wto.org/imrd/directdoc.asp?DDFDocuments/t/G/TBTN22/BDI235A2.DOCX", "https://docs.wto.org/imrd/directdoc.asp?DDFDocuments/t/G/TBTN22/BDI235A2.DOCX")</f>
      </c>
      <c r="P1398" s="6">
        <f>HYPERLINK("https://docs.wto.org/imrd/directdoc.asp?DDFDocuments/u/G/TBTN22/BDI235A2.DOCX", "https://docs.wto.org/imrd/directdoc.asp?DDFDocuments/u/G/TBTN22/BDI235A2.DOCX")</f>
      </c>
      <c r="Q1398" s="6">
        <f>HYPERLINK("https://docs.wto.org/imrd/directdoc.asp?DDFDocuments/v/G/TBTN22/BDI235A2.DOCX", "https://docs.wto.org/imrd/directdoc.asp?DDFDocuments/v/G/TBTN22/BDI235A2.DOCX")</f>
      </c>
    </row>
    <row r="1399">
      <c r="A1399" s="6" t="s">
        <v>26</v>
      </c>
      <c r="B1399" s="7">
        <v>45583</v>
      </c>
      <c r="C1399" s="9">
        <f>HYPERLINK("https://eping.wto.org/en/Search?viewData= G/TBT/N/BDI/521, G/TBT/N/KEN/1694, G/TBT/N/RWA/1087, G/TBT/N/TZA/1187, G/TBT/N/UGA/2031"," G/TBT/N/BDI/521, G/TBT/N/KEN/1694, G/TBT/N/RWA/1087, G/TBT/N/TZA/1187, G/TBT/N/UGA/2031")</f>
      </c>
      <c r="D1399" s="8" t="s">
        <v>4430</v>
      </c>
      <c r="E1399" s="8" t="s">
        <v>4431</v>
      </c>
      <c r="F1399" s="8" t="s">
        <v>4432</v>
      </c>
      <c r="G1399" s="8" t="s">
        <v>4420</v>
      </c>
      <c r="H1399" s="8" t="s">
        <v>4421</v>
      </c>
      <c r="I1399" s="8" t="s">
        <v>4422</v>
      </c>
      <c r="J1399" s="8" t="s">
        <v>22</v>
      </c>
      <c r="K1399" s="6"/>
      <c r="L1399" s="7">
        <v>45643</v>
      </c>
      <c r="M1399" s="6" t="s">
        <v>32</v>
      </c>
      <c r="N1399" s="8" t="s">
        <v>4433</v>
      </c>
      <c r="O1399" s="6">
        <f>HYPERLINK("https://docs.wto.org/imrd/directdoc.asp?DDFDocuments/t/G/TBTN24/BDI521.DOCX", "https://docs.wto.org/imrd/directdoc.asp?DDFDocuments/t/G/TBTN24/BDI521.DOCX")</f>
      </c>
      <c r="P1399" s="6">
        <f>HYPERLINK("https://docs.wto.org/imrd/directdoc.asp?DDFDocuments/u/G/TBTN24/BDI521.DOCX", "https://docs.wto.org/imrd/directdoc.asp?DDFDocuments/u/G/TBTN24/BDI521.DOCX")</f>
      </c>
      <c r="Q1399" s="6">
        <f>HYPERLINK("https://docs.wto.org/imrd/directdoc.asp?DDFDocuments/v/G/TBTN24/BDI521.DOCX", "https://docs.wto.org/imrd/directdoc.asp?DDFDocuments/v/G/TBTN24/BDI521.DOCX")</f>
      </c>
    </row>
    <row r="1400">
      <c r="A1400" s="6" t="s">
        <v>60</v>
      </c>
      <c r="B1400" s="7">
        <v>45583</v>
      </c>
      <c r="C1400" s="9">
        <f>HYPERLINK("https://eping.wto.org/en/Search?viewData= G/TBT/N/BDI/522, G/TBT/N/KEN/1695, G/TBT/N/RWA/1088, G/TBT/N/TZA/1188, G/TBT/N/UGA/2032"," G/TBT/N/BDI/522, G/TBT/N/KEN/1695, G/TBT/N/RWA/1088, G/TBT/N/TZA/1188, G/TBT/N/UGA/2032")</f>
      </c>
      <c r="D1400" s="8" t="s">
        <v>4417</v>
      </c>
      <c r="E1400" s="8" t="s">
        <v>4418</v>
      </c>
      <c r="F1400" s="8" t="s">
        <v>4419</v>
      </c>
      <c r="G1400" s="8" t="s">
        <v>4420</v>
      </c>
      <c r="H1400" s="8" t="s">
        <v>4421</v>
      </c>
      <c r="I1400" s="8" t="s">
        <v>4422</v>
      </c>
      <c r="J1400" s="8" t="s">
        <v>22</v>
      </c>
      <c r="K1400" s="6"/>
      <c r="L1400" s="7">
        <v>45643</v>
      </c>
      <c r="M1400" s="6" t="s">
        <v>32</v>
      </c>
      <c r="N1400" s="8" t="s">
        <v>4423</v>
      </c>
      <c r="O1400" s="6">
        <f>HYPERLINK("https://docs.wto.org/imrd/directdoc.asp?DDFDocuments/t/G/TBTN24/BDI522.DOCX", "https://docs.wto.org/imrd/directdoc.asp?DDFDocuments/t/G/TBTN24/BDI522.DOCX")</f>
      </c>
      <c r="P1400" s="6">
        <f>HYPERLINK("https://docs.wto.org/imrd/directdoc.asp?DDFDocuments/u/G/TBTN24/BDI522.DOCX", "https://docs.wto.org/imrd/directdoc.asp?DDFDocuments/u/G/TBTN24/BDI522.DOCX")</f>
      </c>
      <c r="Q1400" s="6">
        <f>HYPERLINK("https://docs.wto.org/imrd/directdoc.asp?DDFDocuments/v/G/TBTN24/BDI522.DOCX", "https://docs.wto.org/imrd/directdoc.asp?DDFDocuments/v/G/TBTN24/BDI522.DOCX")</f>
      </c>
    </row>
    <row r="1401">
      <c r="A1401" s="6" t="s">
        <v>53</v>
      </c>
      <c r="B1401" s="7">
        <v>45583</v>
      </c>
      <c r="C1401" s="9">
        <f>HYPERLINK("https://eping.wto.org/en/Search?viewData= G/TBT/N/KEN/1693"," G/TBT/N/KEN/1693")</f>
      </c>
      <c r="D1401" s="8" t="s">
        <v>4511</v>
      </c>
      <c r="E1401" s="8" t="s">
        <v>3075</v>
      </c>
      <c r="F1401" s="8" t="s">
        <v>3076</v>
      </c>
      <c r="G1401" s="8" t="s">
        <v>3077</v>
      </c>
      <c r="H1401" s="8" t="s">
        <v>3078</v>
      </c>
      <c r="I1401" s="8" t="s">
        <v>1805</v>
      </c>
      <c r="J1401" s="8" t="s">
        <v>58</v>
      </c>
      <c r="K1401" s="6"/>
      <c r="L1401" s="7">
        <v>45643</v>
      </c>
      <c r="M1401" s="6" t="s">
        <v>32</v>
      </c>
      <c r="N1401" s="8" t="s">
        <v>4512</v>
      </c>
      <c r="O1401" s="6">
        <f>HYPERLINK("https://docs.wto.org/imrd/directdoc.asp?DDFDocuments/t/G/TBTN24/KEN1693.DOCX", "https://docs.wto.org/imrd/directdoc.asp?DDFDocuments/t/G/TBTN24/KEN1693.DOCX")</f>
      </c>
      <c r="P1401" s="6">
        <f>HYPERLINK("https://docs.wto.org/imrd/directdoc.asp?DDFDocuments/u/G/TBTN24/KEN1693.DOCX", "https://docs.wto.org/imrd/directdoc.asp?DDFDocuments/u/G/TBTN24/KEN1693.DOCX")</f>
      </c>
      <c r="Q1401" s="6">
        <f>HYPERLINK("https://docs.wto.org/imrd/directdoc.asp?DDFDocuments/v/G/TBTN24/KEN1693.DOCX", "https://docs.wto.org/imrd/directdoc.asp?DDFDocuments/v/G/TBTN24/KEN1693.DOCX")</f>
      </c>
    </row>
    <row r="1402">
      <c r="A1402" s="6" t="s">
        <v>104</v>
      </c>
      <c r="B1402" s="7">
        <v>45583</v>
      </c>
      <c r="C1402" s="9">
        <f>HYPERLINK("https://eping.wto.org/en/Search?viewData= G/SPS/N/CHN/1320"," G/SPS/N/CHN/1320")</f>
      </c>
      <c r="D1402" s="8" t="s">
        <v>4513</v>
      </c>
      <c r="E1402" s="8" t="s">
        <v>4514</v>
      </c>
      <c r="F1402" s="8" t="s">
        <v>4515</v>
      </c>
      <c r="G1402" s="8" t="s">
        <v>22</v>
      </c>
      <c r="H1402" s="8" t="s">
        <v>22</v>
      </c>
      <c r="I1402" s="8" t="s">
        <v>120</v>
      </c>
      <c r="J1402" s="8" t="s">
        <v>416</v>
      </c>
      <c r="K1402" s="6" t="s">
        <v>22</v>
      </c>
      <c r="L1402" s="7">
        <v>45643</v>
      </c>
      <c r="M1402" s="6" t="s">
        <v>32</v>
      </c>
      <c r="N1402" s="8" t="s">
        <v>4516</v>
      </c>
      <c r="O1402" s="6">
        <f>HYPERLINK("https://docs.wto.org/imrd/directdoc.asp?DDFDocuments/t/G/SPS/NCHN1320.DOCX", "https://docs.wto.org/imrd/directdoc.asp?DDFDocuments/t/G/SPS/NCHN1320.DOCX")</f>
      </c>
      <c r="P1402" s="6">
        <f>HYPERLINK("https://docs.wto.org/imrd/directdoc.asp?DDFDocuments/u/G/SPS/NCHN1320.DOCX", "https://docs.wto.org/imrd/directdoc.asp?DDFDocuments/u/G/SPS/NCHN1320.DOCX")</f>
      </c>
      <c r="Q1402" s="6">
        <f>HYPERLINK("https://docs.wto.org/imrd/directdoc.asp?DDFDocuments/v/G/SPS/NCHN1320.DOCX", "https://docs.wto.org/imrd/directdoc.asp?DDFDocuments/v/G/SPS/NCHN1320.DOCX")</f>
      </c>
    </row>
    <row r="1403">
      <c r="A1403" s="6" t="s">
        <v>49</v>
      </c>
      <c r="B1403" s="7">
        <v>45583</v>
      </c>
      <c r="C1403" s="9">
        <f>HYPERLINK("https://eping.wto.org/en/Search?viewData= G/TBT/N/BDI/235/Add.2, G/TBT/N/KEN/1252/Add.2, G/TBT/N/RWA/665/Add.2, G/TBT/N/TZA/775/Add.2, G/TBT/N/UGA/1588/Add.2"," G/TBT/N/BDI/235/Add.2, G/TBT/N/KEN/1252/Add.2, G/TBT/N/RWA/665/Add.2, G/TBT/N/TZA/775/Add.2, G/TBT/N/UGA/1588/Add.2")</f>
      </c>
      <c r="D1403" s="8" t="s">
        <v>4406</v>
      </c>
      <c r="E1403" s="8" t="s">
        <v>4407</v>
      </c>
      <c r="F1403" s="8" t="s">
        <v>4408</v>
      </c>
      <c r="G1403" s="8" t="s">
        <v>4409</v>
      </c>
      <c r="H1403" s="8" t="s">
        <v>4299</v>
      </c>
      <c r="I1403" s="8" t="s">
        <v>4466</v>
      </c>
      <c r="J1403" s="8" t="s">
        <v>4467</v>
      </c>
      <c r="K1403" s="6"/>
      <c r="L1403" s="7" t="s">
        <v>22</v>
      </c>
      <c r="M1403" s="6" t="s">
        <v>40</v>
      </c>
      <c r="N1403" s="6"/>
      <c r="O1403" s="6">
        <f>HYPERLINK("https://docs.wto.org/imrd/directdoc.asp?DDFDocuments/t/G/TBTN22/BDI235A2.DOCX", "https://docs.wto.org/imrd/directdoc.asp?DDFDocuments/t/G/TBTN22/BDI235A2.DOCX")</f>
      </c>
      <c r="P1403" s="6">
        <f>HYPERLINK("https://docs.wto.org/imrd/directdoc.asp?DDFDocuments/u/G/TBTN22/BDI235A2.DOCX", "https://docs.wto.org/imrd/directdoc.asp?DDFDocuments/u/G/TBTN22/BDI235A2.DOCX")</f>
      </c>
      <c r="Q1403" s="6">
        <f>HYPERLINK("https://docs.wto.org/imrd/directdoc.asp?DDFDocuments/v/G/TBTN22/BDI235A2.DOCX", "https://docs.wto.org/imrd/directdoc.asp?DDFDocuments/v/G/TBTN22/BDI235A2.DOCX")</f>
      </c>
    </row>
    <row r="1404">
      <c r="A1404" s="6" t="s">
        <v>53</v>
      </c>
      <c r="B1404" s="7">
        <v>45583</v>
      </c>
      <c r="C1404" s="9">
        <f>HYPERLINK("https://eping.wto.org/en/Search?viewData= G/TBT/N/BDI/236/Add.2, G/TBT/N/KEN/1253/Add.2, G/TBT/N/RWA/666/Add.2, G/TBT/N/TZA/776/Add.2, G/TBT/N/UGA/1589/Add.2"," G/TBT/N/BDI/236/Add.2, G/TBT/N/KEN/1253/Add.2, G/TBT/N/RWA/666/Add.2, G/TBT/N/TZA/776/Add.2, G/TBT/N/UGA/1589/Add.2")</f>
      </c>
      <c r="D1404" s="8" t="s">
        <v>4481</v>
      </c>
      <c r="E1404" s="8" t="s">
        <v>4482</v>
      </c>
      <c r="F1404" s="8" t="s">
        <v>4408</v>
      </c>
      <c r="G1404" s="8" t="s">
        <v>4409</v>
      </c>
      <c r="H1404" s="8" t="s">
        <v>4299</v>
      </c>
      <c r="I1404" s="8" t="s">
        <v>4361</v>
      </c>
      <c r="J1404" s="8" t="s">
        <v>4301</v>
      </c>
      <c r="K1404" s="6"/>
      <c r="L1404" s="7" t="s">
        <v>22</v>
      </c>
      <c r="M1404" s="6" t="s">
        <v>40</v>
      </c>
      <c r="N1404" s="6"/>
      <c r="O1404" s="6">
        <f>HYPERLINK("https://docs.wto.org/imrd/directdoc.asp?DDFDocuments/t/G/TBTN22/BDI236A2.DOCX", "https://docs.wto.org/imrd/directdoc.asp?DDFDocuments/t/G/TBTN22/BDI236A2.DOCX")</f>
      </c>
      <c r="P1404" s="6">
        <f>HYPERLINK("https://docs.wto.org/imrd/directdoc.asp?DDFDocuments/u/G/TBTN22/BDI236A2.DOCX", "https://docs.wto.org/imrd/directdoc.asp?DDFDocuments/u/G/TBTN22/BDI236A2.DOCX")</f>
      </c>
      <c r="Q1404" s="6">
        <f>HYPERLINK("https://docs.wto.org/imrd/directdoc.asp?DDFDocuments/v/G/TBTN22/BDI236A2.DOCX", "https://docs.wto.org/imrd/directdoc.asp?DDFDocuments/v/G/TBTN22/BDI236A2.DOCX")</f>
      </c>
    </row>
    <row r="1405">
      <c r="A1405" s="6" t="s">
        <v>49</v>
      </c>
      <c r="B1405" s="7">
        <v>45583</v>
      </c>
      <c r="C1405" s="9">
        <f>HYPERLINK("https://eping.wto.org/en/Search?viewData= G/TBT/N/BDI/522, G/TBT/N/KEN/1695, G/TBT/N/RWA/1088, G/TBT/N/TZA/1188, G/TBT/N/UGA/2032"," G/TBT/N/BDI/522, G/TBT/N/KEN/1695, G/TBT/N/RWA/1088, G/TBT/N/TZA/1188, G/TBT/N/UGA/2032")</f>
      </c>
      <c r="D1405" s="8" t="s">
        <v>4417</v>
      </c>
      <c r="E1405" s="8" t="s">
        <v>4418</v>
      </c>
      <c r="F1405" s="8" t="s">
        <v>4419</v>
      </c>
      <c r="G1405" s="8" t="s">
        <v>4420</v>
      </c>
      <c r="H1405" s="8" t="s">
        <v>4421</v>
      </c>
      <c r="I1405" s="8" t="s">
        <v>4422</v>
      </c>
      <c r="J1405" s="8" t="s">
        <v>22</v>
      </c>
      <c r="K1405" s="6"/>
      <c r="L1405" s="7">
        <v>45643</v>
      </c>
      <c r="M1405" s="6" t="s">
        <v>32</v>
      </c>
      <c r="N1405" s="8" t="s">
        <v>4423</v>
      </c>
      <c r="O1405" s="6">
        <f>HYPERLINK("https://docs.wto.org/imrd/directdoc.asp?DDFDocuments/t/G/TBTN24/BDI522.DOCX", "https://docs.wto.org/imrd/directdoc.asp?DDFDocuments/t/G/TBTN24/BDI522.DOCX")</f>
      </c>
      <c r="P1405" s="6">
        <f>HYPERLINK("https://docs.wto.org/imrd/directdoc.asp?DDFDocuments/u/G/TBTN24/BDI522.DOCX", "https://docs.wto.org/imrd/directdoc.asp?DDFDocuments/u/G/TBTN24/BDI522.DOCX")</f>
      </c>
      <c r="Q1405" s="6">
        <f>HYPERLINK("https://docs.wto.org/imrd/directdoc.asp?DDFDocuments/v/G/TBTN24/BDI522.DOCX", "https://docs.wto.org/imrd/directdoc.asp?DDFDocuments/v/G/TBTN24/BDI522.DOCX")</f>
      </c>
    </row>
    <row r="1406">
      <c r="A1406" s="6" t="s">
        <v>53</v>
      </c>
      <c r="B1406" s="7">
        <v>45583</v>
      </c>
      <c r="C1406" s="9">
        <f>HYPERLINK("https://eping.wto.org/en/Search?viewData= G/TBT/N/BDI/525, G/TBT/N/KEN/1698, G/TBT/N/RWA/1091, G/TBT/N/TZA/1191, G/TBT/N/UGA/2035"," G/TBT/N/BDI/525, G/TBT/N/KEN/1698, G/TBT/N/RWA/1091, G/TBT/N/TZA/1191, G/TBT/N/UGA/2035")</f>
      </c>
      <c r="D1406" s="8" t="s">
        <v>4424</v>
      </c>
      <c r="E1406" s="8" t="s">
        <v>4425</v>
      </c>
      <c r="F1406" s="8" t="s">
        <v>4426</v>
      </c>
      <c r="G1406" s="8" t="s">
        <v>4427</v>
      </c>
      <c r="H1406" s="8" t="s">
        <v>4421</v>
      </c>
      <c r="I1406" s="8" t="s">
        <v>4428</v>
      </c>
      <c r="J1406" s="8" t="s">
        <v>22</v>
      </c>
      <c r="K1406" s="6"/>
      <c r="L1406" s="7">
        <v>45643</v>
      </c>
      <c r="M1406" s="6" t="s">
        <v>32</v>
      </c>
      <c r="N1406" s="8" t="s">
        <v>4429</v>
      </c>
      <c r="O1406" s="6">
        <f>HYPERLINK("https://docs.wto.org/imrd/directdoc.asp?DDFDocuments/t/G/TBTN24/BDI525.DOCX", "https://docs.wto.org/imrd/directdoc.asp?DDFDocuments/t/G/TBTN24/BDI525.DOCX")</f>
      </c>
      <c r="P1406" s="6">
        <f>HYPERLINK("https://docs.wto.org/imrd/directdoc.asp?DDFDocuments/u/G/TBTN24/BDI525.DOCX", "https://docs.wto.org/imrd/directdoc.asp?DDFDocuments/u/G/TBTN24/BDI525.DOCX")</f>
      </c>
      <c r="Q1406" s="6">
        <f>HYPERLINK("https://docs.wto.org/imrd/directdoc.asp?DDFDocuments/v/G/TBTN24/BDI525.DOCX", "https://docs.wto.org/imrd/directdoc.asp?DDFDocuments/v/G/TBTN24/BDI525.DOCX")</f>
      </c>
    </row>
    <row r="1407">
      <c r="A1407" s="6" t="s">
        <v>68</v>
      </c>
      <c r="B1407" s="7">
        <v>45583</v>
      </c>
      <c r="C1407" s="9">
        <f>HYPERLINK("https://eping.wto.org/en/Search?viewData= G/TBT/N/BDI/522, G/TBT/N/KEN/1695, G/TBT/N/RWA/1088, G/TBT/N/TZA/1188, G/TBT/N/UGA/2032"," G/TBT/N/BDI/522, G/TBT/N/KEN/1695, G/TBT/N/RWA/1088, G/TBT/N/TZA/1188, G/TBT/N/UGA/2032")</f>
      </c>
      <c r="D1407" s="8" t="s">
        <v>4417</v>
      </c>
      <c r="E1407" s="8" t="s">
        <v>4418</v>
      </c>
      <c r="F1407" s="8" t="s">
        <v>4419</v>
      </c>
      <c r="G1407" s="8" t="s">
        <v>4420</v>
      </c>
      <c r="H1407" s="8" t="s">
        <v>4421</v>
      </c>
      <c r="I1407" s="8" t="s">
        <v>4422</v>
      </c>
      <c r="J1407" s="8" t="s">
        <v>22</v>
      </c>
      <c r="K1407" s="6"/>
      <c r="L1407" s="7">
        <v>45643</v>
      </c>
      <c r="M1407" s="6" t="s">
        <v>32</v>
      </c>
      <c r="N1407" s="8" t="s">
        <v>4423</v>
      </c>
      <c r="O1407" s="6">
        <f>HYPERLINK("https://docs.wto.org/imrd/directdoc.asp?DDFDocuments/t/G/TBTN24/BDI522.DOCX", "https://docs.wto.org/imrd/directdoc.asp?DDFDocuments/t/G/TBTN24/BDI522.DOCX")</f>
      </c>
      <c r="P1407" s="6">
        <f>HYPERLINK("https://docs.wto.org/imrd/directdoc.asp?DDFDocuments/u/G/TBTN24/BDI522.DOCX", "https://docs.wto.org/imrd/directdoc.asp?DDFDocuments/u/G/TBTN24/BDI522.DOCX")</f>
      </c>
      <c r="Q1407" s="6">
        <f>HYPERLINK("https://docs.wto.org/imrd/directdoc.asp?DDFDocuments/v/G/TBTN24/BDI522.DOCX", "https://docs.wto.org/imrd/directdoc.asp?DDFDocuments/v/G/TBTN24/BDI522.DOCX")</f>
      </c>
    </row>
    <row r="1408">
      <c r="A1408" s="6" t="s">
        <v>60</v>
      </c>
      <c r="B1408" s="7">
        <v>45583</v>
      </c>
      <c r="C1408" s="9">
        <f>HYPERLINK("https://eping.wto.org/en/Search?viewData= G/TBT/N/BDI/525, G/TBT/N/KEN/1698, G/TBT/N/RWA/1091, G/TBT/N/TZA/1191, G/TBT/N/UGA/2035"," G/TBT/N/BDI/525, G/TBT/N/KEN/1698, G/TBT/N/RWA/1091, G/TBT/N/TZA/1191, G/TBT/N/UGA/2035")</f>
      </c>
      <c r="D1408" s="8" t="s">
        <v>4424</v>
      </c>
      <c r="E1408" s="8" t="s">
        <v>4425</v>
      </c>
      <c r="F1408" s="8" t="s">
        <v>4426</v>
      </c>
      <c r="G1408" s="8" t="s">
        <v>4427</v>
      </c>
      <c r="H1408" s="8" t="s">
        <v>4421</v>
      </c>
      <c r="I1408" s="8" t="s">
        <v>4428</v>
      </c>
      <c r="J1408" s="8" t="s">
        <v>22</v>
      </c>
      <c r="K1408" s="6"/>
      <c r="L1408" s="7">
        <v>45643</v>
      </c>
      <c r="M1408" s="6" t="s">
        <v>32</v>
      </c>
      <c r="N1408" s="8" t="s">
        <v>4429</v>
      </c>
      <c r="O1408" s="6">
        <f>HYPERLINK("https://docs.wto.org/imrd/directdoc.asp?DDFDocuments/t/G/TBTN24/BDI525.DOCX", "https://docs.wto.org/imrd/directdoc.asp?DDFDocuments/t/G/TBTN24/BDI525.DOCX")</f>
      </c>
      <c r="P1408" s="6">
        <f>HYPERLINK("https://docs.wto.org/imrd/directdoc.asp?DDFDocuments/u/G/TBTN24/BDI525.DOCX", "https://docs.wto.org/imrd/directdoc.asp?DDFDocuments/u/G/TBTN24/BDI525.DOCX")</f>
      </c>
      <c r="Q1408" s="6">
        <f>HYPERLINK("https://docs.wto.org/imrd/directdoc.asp?DDFDocuments/v/G/TBTN24/BDI525.DOCX", "https://docs.wto.org/imrd/directdoc.asp?DDFDocuments/v/G/TBTN24/BDI525.DOCX")</f>
      </c>
    </row>
    <row r="1409">
      <c r="A1409" s="6" t="s">
        <v>104</v>
      </c>
      <c r="B1409" s="7">
        <v>45583</v>
      </c>
      <c r="C1409" s="9">
        <f>HYPERLINK("https://eping.wto.org/en/Search?viewData= G/SPS/N/CHN/1316"," G/SPS/N/CHN/1316")</f>
      </c>
      <c r="D1409" s="8" t="s">
        <v>4517</v>
      </c>
      <c r="E1409" s="8" t="s">
        <v>4518</v>
      </c>
      <c r="F1409" s="8" t="s">
        <v>4519</v>
      </c>
      <c r="G1409" s="8" t="s">
        <v>22</v>
      </c>
      <c r="H1409" s="8" t="s">
        <v>22</v>
      </c>
      <c r="I1409" s="8" t="s">
        <v>120</v>
      </c>
      <c r="J1409" s="8" t="s">
        <v>416</v>
      </c>
      <c r="K1409" s="6" t="s">
        <v>22</v>
      </c>
      <c r="L1409" s="7">
        <v>45643</v>
      </c>
      <c r="M1409" s="6" t="s">
        <v>32</v>
      </c>
      <c r="N1409" s="8" t="s">
        <v>4520</v>
      </c>
      <c r="O1409" s="6">
        <f>HYPERLINK("https://docs.wto.org/imrd/directdoc.asp?DDFDocuments/t/G/SPS/NCHN1316.DOCX", "https://docs.wto.org/imrd/directdoc.asp?DDFDocuments/t/G/SPS/NCHN1316.DOCX")</f>
      </c>
      <c r="P1409" s="6">
        <f>HYPERLINK("https://docs.wto.org/imrd/directdoc.asp?DDFDocuments/u/G/SPS/NCHN1316.DOCX", "https://docs.wto.org/imrd/directdoc.asp?DDFDocuments/u/G/SPS/NCHN1316.DOCX")</f>
      </c>
      <c r="Q1409" s="6">
        <f>HYPERLINK("https://docs.wto.org/imrd/directdoc.asp?DDFDocuments/v/G/SPS/NCHN1316.DOCX", "https://docs.wto.org/imrd/directdoc.asp?DDFDocuments/v/G/SPS/NCHN1316.DOCX")</f>
      </c>
    </row>
    <row r="1410">
      <c r="A1410" s="6" t="s">
        <v>68</v>
      </c>
      <c r="B1410" s="7">
        <v>45583</v>
      </c>
      <c r="C1410" s="9">
        <f>HYPERLINK("https://eping.wto.org/en/Search?viewData= G/TBT/N/BDI/525, G/TBT/N/KEN/1698, G/TBT/N/RWA/1091, G/TBT/N/TZA/1191, G/TBT/N/UGA/2035"," G/TBT/N/BDI/525, G/TBT/N/KEN/1698, G/TBT/N/RWA/1091, G/TBT/N/TZA/1191, G/TBT/N/UGA/2035")</f>
      </c>
      <c r="D1410" s="8" t="s">
        <v>4424</v>
      </c>
      <c r="E1410" s="8" t="s">
        <v>4425</v>
      </c>
      <c r="F1410" s="8" t="s">
        <v>4426</v>
      </c>
      <c r="G1410" s="8" t="s">
        <v>4427</v>
      </c>
      <c r="H1410" s="8" t="s">
        <v>4421</v>
      </c>
      <c r="I1410" s="8" t="s">
        <v>4428</v>
      </c>
      <c r="J1410" s="8" t="s">
        <v>22</v>
      </c>
      <c r="K1410" s="6"/>
      <c r="L1410" s="7">
        <v>45643</v>
      </c>
      <c r="M1410" s="6" t="s">
        <v>32</v>
      </c>
      <c r="N1410" s="8" t="s">
        <v>4429</v>
      </c>
      <c r="O1410" s="6">
        <f>HYPERLINK("https://docs.wto.org/imrd/directdoc.asp?DDFDocuments/t/G/TBTN24/BDI525.DOCX", "https://docs.wto.org/imrd/directdoc.asp?DDFDocuments/t/G/TBTN24/BDI525.DOCX")</f>
      </c>
      <c r="P1410" s="6">
        <f>HYPERLINK("https://docs.wto.org/imrd/directdoc.asp?DDFDocuments/u/G/TBTN24/BDI525.DOCX", "https://docs.wto.org/imrd/directdoc.asp?DDFDocuments/u/G/TBTN24/BDI525.DOCX")</f>
      </c>
      <c r="Q1410" s="6">
        <f>HYPERLINK("https://docs.wto.org/imrd/directdoc.asp?DDFDocuments/v/G/TBTN24/BDI525.DOCX", "https://docs.wto.org/imrd/directdoc.asp?DDFDocuments/v/G/TBTN24/BDI525.DOCX")</f>
      </c>
    </row>
    <row r="1411">
      <c r="A1411" s="6" t="s">
        <v>104</v>
      </c>
      <c r="B1411" s="7">
        <v>45583</v>
      </c>
      <c r="C1411" s="9">
        <f>HYPERLINK("https://eping.wto.org/en/Search?viewData= G/SPS/N/CHN/1315"," G/SPS/N/CHN/1315")</f>
      </c>
      <c r="D1411" s="8" t="s">
        <v>4521</v>
      </c>
      <c r="E1411" s="8" t="s">
        <v>4522</v>
      </c>
      <c r="F1411" s="8" t="s">
        <v>4523</v>
      </c>
      <c r="G1411" s="8" t="s">
        <v>22</v>
      </c>
      <c r="H1411" s="8" t="s">
        <v>22</v>
      </c>
      <c r="I1411" s="8" t="s">
        <v>120</v>
      </c>
      <c r="J1411" s="8" t="s">
        <v>416</v>
      </c>
      <c r="K1411" s="6" t="s">
        <v>22</v>
      </c>
      <c r="L1411" s="7">
        <v>45643</v>
      </c>
      <c r="M1411" s="6" t="s">
        <v>32</v>
      </c>
      <c r="N1411" s="8" t="s">
        <v>4524</v>
      </c>
      <c r="O1411" s="6">
        <f>HYPERLINK("https://docs.wto.org/imrd/directdoc.asp?DDFDocuments/t/G/SPS/NCHN1315.DOCX", "https://docs.wto.org/imrd/directdoc.asp?DDFDocuments/t/G/SPS/NCHN1315.DOCX")</f>
      </c>
      <c r="P1411" s="6">
        <f>HYPERLINK("https://docs.wto.org/imrd/directdoc.asp?DDFDocuments/u/G/SPS/NCHN1315.DOCX", "https://docs.wto.org/imrd/directdoc.asp?DDFDocuments/u/G/SPS/NCHN1315.DOCX")</f>
      </c>
      <c r="Q1411" s="6">
        <f>HYPERLINK("https://docs.wto.org/imrd/directdoc.asp?DDFDocuments/v/G/SPS/NCHN1315.DOCX", "https://docs.wto.org/imrd/directdoc.asp?DDFDocuments/v/G/SPS/NCHN1315.DOCX")</f>
      </c>
    </row>
    <row r="1412">
      <c r="A1412" s="6" t="s">
        <v>104</v>
      </c>
      <c r="B1412" s="7">
        <v>45583</v>
      </c>
      <c r="C1412" s="9">
        <f>HYPERLINK("https://eping.wto.org/en/Search?viewData= G/SPS/N/CHN/1322"," G/SPS/N/CHN/1322")</f>
      </c>
      <c r="D1412" s="8" t="s">
        <v>4525</v>
      </c>
      <c r="E1412" s="8" t="s">
        <v>4526</v>
      </c>
      <c r="F1412" s="8" t="s">
        <v>4527</v>
      </c>
      <c r="G1412" s="8" t="s">
        <v>3713</v>
      </c>
      <c r="H1412" s="8" t="s">
        <v>22</v>
      </c>
      <c r="I1412" s="8" t="s">
        <v>120</v>
      </c>
      <c r="J1412" s="8" t="s">
        <v>255</v>
      </c>
      <c r="K1412" s="6" t="s">
        <v>22</v>
      </c>
      <c r="L1412" s="7">
        <v>45643</v>
      </c>
      <c r="M1412" s="6" t="s">
        <v>32</v>
      </c>
      <c r="N1412" s="8" t="s">
        <v>4528</v>
      </c>
      <c r="O1412" s="6">
        <f>HYPERLINK("https://docs.wto.org/imrd/directdoc.asp?DDFDocuments/t/G/SPS/NCHN1322.DOCX", "https://docs.wto.org/imrd/directdoc.asp?DDFDocuments/t/G/SPS/NCHN1322.DOCX")</f>
      </c>
      <c r="P1412" s="6">
        <f>HYPERLINK("https://docs.wto.org/imrd/directdoc.asp?DDFDocuments/u/G/SPS/NCHN1322.DOCX", "https://docs.wto.org/imrd/directdoc.asp?DDFDocuments/u/G/SPS/NCHN1322.DOCX")</f>
      </c>
      <c r="Q1412" s="6">
        <f>HYPERLINK("https://docs.wto.org/imrd/directdoc.asp?DDFDocuments/v/G/SPS/NCHN1322.DOCX", "https://docs.wto.org/imrd/directdoc.asp?DDFDocuments/v/G/SPS/NCHN1322.DOCX")</f>
      </c>
    </row>
    <row r="1413">
      <c r="A1413" s="6" t="s">
        <v>26</v>
      </c>
      <c r="B1413" s="7">
        <v>45583</v>
      </c>
      <c r="C1413" s="9">
        <f>HYPERLINK("https://eping.wto.org/en/Search?viewData= G/TBT/N/BDI/236/Add.2, G/TBT/N/KEN/1253/Add.2, G/TBT/N/RWA/666/Add.2, G/TBT/N/TZA/776/Add.2, G/TBT/N/UGA/1589/Add.2"," G/TBT/N/BDI/236/Add.2, G/TBT/N/KEN/1253/Add.2, G/TBT/N/RWA/666/Add.2, G/TBT/N/TZA/776/Add.2, G/TBT/N/UGA/1589/Add.2")</f>
      </c>
      <c r="D1413" s="8" t="s">
        <v>4481</v>
      </c>
      <c r="E1413" s="8" t="s">
        <v>4482</v>
      </c>
      <c r="F1413" s="8" t="s">
        <v>4408</v>
      </c>
      <c r="G1413" s="8" t="s">
        <v>4409</v>
      </c>
      <c r="H1413" s="8" t="s">
        <v>4299</v>
      </c>
      <c r="I1413" s="8" t="s">
        <v>4361</v>
      </c>
      <c r="J1413" s="8" t="s">
        <v>4301</v>
      </c>
      <c r="K1413" s="6"/>
      <c r="L1413" s="7" t="s">
        <v>22</v>
      </c>
      <c r="M1413" s="6" t="s">
        <v>40</v>
      </c>
      <c r="N1413" s="6"/>
      <c r="O1413" s="6">
        <f>HYPERLINK("https://docs.wto.org/imrd/directdoc.asp?DDFDocuments/t/G/TBTN22/BDI236A2.DOCX", "https://docs.wto.org/imrd/directdoc.asp?DDFDocuments/t/G/TBTN22/BDI236A2.DOCX")</f>
      </c>
      <c r="P1413" s="6">
        <f>HYPERLINK("https://docs.wto.org/imrd/directdoc.asp?DDFDocuments/u/G/TBTN22/BDI236A2.DOCX", "https://docs.wto.org/imrd/directdoc.asp?DDFDocuments/u/G/TBTN22/BDI236A2.DOCX")</f>
      </c>
      <c r="Q1413" s="6">
        <f>HYPERLINK("https://docs.wto.org/imrd/directdoc.asp?DDFDocuments/v/G/TBTN22/BDI236A2.DOCX", "https://docs.wto.org/imrd/directdoc.asp?DDFDocuments/v/G/TBTN22/BDI236A2.DOCX")</f>
      </c>
    </row>
    <row r="1414">
      <c r="A1414" s="6" t="s">
        <v>49</v>
      </c>
      <c r="B1414" s="7">
        <v>45583</v>
      </c>
      <c r="C1414" s="9">
        <f>HYPERLINK("https://eping.wto.org/en/Search?viewData= G/TBT/N/BDI/524, G/TBT/N/KEN/1697, G/TBT/N/RWA/1090, G/TBT/N/TZA/1190, G/TBT/N/UGA/2034"," G/TBT/N/BDI/524, G/TBT/N/KEN/1697, G/TBT/N/RWA/1090, G/TBT/N/TZA/1190, G/TBT/N/UGA/2034")</f>
      </c>
      <c r="D1414" s="8" t="s">
        <v>4434</v>
      </c>
      <c r="E1414" s="8" t="s">
        <v>4435</v>
      </c>
      <c r="F1414" s="8" t="s">
        <v>4426</v>
      </c>
      <c r="G1414" s="8" t="s">
        <v>4427</v>
      </c>
      <c r="H1414" s="8" t="s">
        <v>4421</v>
      </c>
      <c r="I1414" s="8" t="s">
        <v>4428</v>
      </c>
      <c r="J1414" s="8" t="s">
        <v>22</v>
      </c>
      <c r="K1414" s="6"/>
      <c r="L1414" s="7">
        <v>45643</v>
      </c>
      <c r="M1414" s="6" t="s">
        <v>32</v>
      </c>
      <c r="N1414" s="8" t="s">
        <v>4436</v>
      </c>
      <c r="O1414" s="6">
        <f>HYPERLINK("https://docs.wto.org/imrd/directdoc.asp?DDFDocuments/t/G/TBTN24/BDI524.DOCX", "https://docs.wto.org/imrd/directdoc.asp?DDFDocuments/t/G/TBTN24/BDI524.DOCX")</f>
      </c>
      <c r="P1414" s="6">
        <f>HYPERLINK("https://docs.wto.org/imrd/directdoc.asp?DDFDocuments/u/G/TBTN24/BDI524.DOCX", "https://docs.wto.org/imrd/directdoc.asp?DDFDocuments/u/G/TBTN24/BDI524.DOCX")</f>
      </c>
      <c r="Q1414" s="6">
        <f>HYPERLINK("https://docs.wto.org/imrd/directdoc.asp?DDFDocuments/v/G/TBTN24/BDI524.DOCX", "https://docs.wto.org/imrd/directdoc.asp?DDFDocuments/v/G/TBTN24/BDI524.DOCX")</f>
      </c>
    </row>
    <row r="1415">
      <c r="A1415" s="6" t="s">
        <v>60</v>
      </c>
      <c r="B1415" s="7">
        <v>45583</v>
      </c>
      <c r="C1415" s="9">
        <f>HYPERLINK("https://eping.wto.org/en/Search?viewData= G/TBT/N/BDI/521, G/TBT/N/KEN/1694, G/TBT/N/RWA/1087, G/TBT/N/TZA/1187, G/TBT/N/UGA/2031"," G/TBT/N/BDI/521, G/TBT/N/KEN/1694, G/TBT/N/RWA/1087, G/TBT/N/TZA/1187, G/TBT/N/UGA/2031")</f>
      </c>
      <c r="D1415" s="8" t="s">
        <v>4430</v>
      </c>
      <c r="E1415" s="8" t="s">
        <v>4431</v>
      </c>
      <c r="F1415" s="8" t="s">
        <v>4432</v>
      </c>
      <c r="G1415" s="8" t="s">
        <v>4420</v>
      </c>
      <c r="H1415" s="8" t="s">
        <v>4421</v>
      </c>
      <c r="I1415" s="8" t="s">
        <v>4422</v>
      </c>
      <c r="J1415" s="8" t="s">
        <v>22</v>
      </c>
      <c r="K1415" s="6"/>
      <c r="L1415" s="7">
        <v>45643</v>
      </c>
      <c r="M1415" s="6" t="s">
        <v>32</v>
      </c>
      <c r="N1415" s="8" t="s">
        <v>4433</v>
      </c>
      <c r="O1415" s="6">
        <f>HYPERLINK("https://docs.wto.org/imrd/directdoc.asp?DDFDocuments/t/G/TBTN24/BDI521.DOCX", "https://docs.wto.org/imrd/directdoc.asp?DDFDocuments/t/G/TBTN24/BDI521.DOCX")</f>
      </c>
      <c r="P1415" s="6">
        <f>HYPERLINK("https://docs.wto.org/imrd/directdoc.asp?DDFDocuments/u/G/TBTN24/BDI521.DOCX", "https://docs.wto.org/imrd/directdoc.asp?DDFDocuments/u/G/TBTN24/BDI521.DOCX")</f>
      </c>
      <c r="Q1415" s="6">
        <f>HYPERLINK("https://docs.wto.org/imrd/directdoc.asp?DDFDocuments/v/G/TBTN24/BDI521.DOCX", "https://docs.wto.org/imrd/directdoc.asp?DDFDocuments/v/G/TBTN24/BDI521.DOCX")</f>
      </c>
    </row>
    <row r="1416">
      <c r="A1416" s="6" t="s">
        <v>49</v>
      </c>
      <c r="B1416" s="7">
        <v>45583</v>
      </c>
      <c r="C1416" s="9">
        <f>HYPERLINK("https://eping.wto.org/en/Search?viewData= G/TBT/N/TZA/1193"," G/TBT/N/TZA/1193")</f>
      </c>
      <c r="D1416" s="8" t="s">
        <v>4529</v>
      </c>
      <c r="E1416" s="8" t="s">
        <v>4530</v>
      </c>
      <c r="F1416" s="8" t="s">
        <v>4531</v>
      </c>
      <c r="G1416" s="8" t="s">
        <v>4532</v>
      </c>
      <c r="H1416" s="8" t="s">
        <v>4502</v>
      </c>
      <c r="I1416" s="8" t="s">
        <v>1058</v>
      </c>
      <c r="J1416" s="8" t="s">
        <v>58</v>
      </c>
      <c r="K1416" s="6"/>
      <c r="L1416" s="7">
        <v>45643</v>
      </c>
      <c r="M1416" s="6" t="s">
        <v>32</v>
      </c>
      <c r="N1416" s="8" t="s">
        <v>4533</v>
      </c>
      <c r="O1416" s="6">
        <f>HYPERLINK("https://docs.wto.org/imrd/directdoc.asp?DDFDocuments/t/G/TBTN24/TZA1193.DOCX", "https://docs.wto.org/imrd/directdoc.asp?DDFDocuments/t/G/TBTN24/TZA1193.DOCX")</f>
      </c>
      <c r="P1416" s="6">
        <f>HYPERLINK("https://docs.wto.org/imrd/directdoc.asp?DDFDocuments/u/G/TBTN24/TZA1193.DOCX", "https://docs.wto.org/imrd/directdoc.asp?DDFDocuments/u/G/TBTN24/TZA1193.DOCX")</f>
      </c>
      <c r="Q1416" s="6">
        <f>HYPERLINK("https://docs.wto.org/imrd/directdoc.asp?DDFDocuments/v/G/TBTN24/TZA1193.DOCX", "https://docs.wto.org/imrd/directdoc.asp?DDFDocuments/v/G/TBTN24/TZA1193.DOCX")</f>
      </c>
    </row>
    <row r="1417">
      <c r="A1417" s="6" t="s">
        <v>49</v>
      </c>
      <c r="B1417" s="7">
        <v>45583</v>
      </c>
      <c r="C1417" s="9">
        <f>HYPERLINK("https://eping.wto.org/en/Search?viewData= G/TBT/N/BDI/523, G/TBT/N/KEN/1696, G/TBT/N/RWA/1089, G/TBT/N/TZA/1189, G/TBT/N/UGA/2033"," G/TBT/N/BDI/523, G/TBT/N/KEN/1696, G/TBT/N/RWA/1089, G/TBT/N/TZA/1189, G/TBT/N/UGA/2033")</f>
      </c>
      <c r="D1417" s="8" t="s">
        <v>4411</v>
      </c>
      <c r="E1417" s="8" t="s">
        <v>4412</v>
      </c>
      <c r="F1417" s="8" t="s">
        <v>4413</v>
      </c>
      <c r="G1417" s="8" t="s">
        <v>4414</v>
      </c>
      <c r="H1417" s="8" t="s">
        <v>4415</v>
      </c>
      <c r="I1417" s="8" t="s">
        <v>4253</v>
      </c>
      <c r="J1417" s="8" t="s">
        <v>22</v>
      </c>
      <c r="K1417" s="6"/>
      <c r="L1417" s="7">
        <v>45643</v>
      </c>
      <c r="M1417" s="6" t="s">
        <v>32</v>
      </c>
      <c r="N1417" s="8" t="s">
        <v>4416</v>
      </c>
      <c r="O1417" s="6">
        <f>HYPERLINK("https://docs.wto.org/imrd/directdoc.asp?DDFDocuments/t/G/TBTN24/BDI523.DOCX", "https://docs.wto.org/imrd/directdoc.asp?DDFDocuments/t/G/TBTN24/BDI523.DOCX")</f>
      </c>
      <c r="P1417" s="6">
        <f>HYPERLINK("https://docs.wto.org/imrd/directdoc.asp?DDFDocuments/u/G/TBTN24/BDI523.DOCX", "https://docs.wto.org/imrd/directdoc.asp?DDFDocuments/u/G/TBTN24/BDI523.DOCX")</f>
      </c>
      <c r="Q1417" s="6">
        <f>HYPERLINK("https://docs.wto.org/imrd/directdoc.asp?DDFDocuments/v/G/TBTN24/BDI523.DOCX", "https://docs.wto.org/imrd/directdoc.asp?DDFDocuments/v/G/TBTN24/BDI523.DOCX")</f>
      </c>
    </row>
    <row r="1418">
      <c r="A1418" s="6" t="s">
        <v>496</v>
      </c>
      <c r="B1418" s="7">
        <v>45582</v>
      </c>
      <c r="C1418" s="9">
        <f>HYPERLINK("https://eping.wto.org/en/Search?viewData= G/SPS/N/GBR/71"," G/SPS/N/GBR/71")</f>
      </c>
      <c r="D1418" s="8" t="s">
        <v>4534</v>
      </c>
      <c r="E1418" s="8" t="s">
        <v>4535</v>
      </c>
      <c r="F1418" s="8" t="s">
        <v>4536</v>
      </c>
      <c r="G1418" s="8" t="s">
        <v>4537</v>
      </c>
      <c r="H1418" s="8" t="s">
        <v>22</v>
      </c>
      <c r="I1418" s="8" t="s">
        <v>348</v>
      </c>
      <c r="J1418" s="8" t="s">
        <v>2921</v>
      </c>
      <c r="K1418" s="6" t="s">
        <v>22</v>
      </c>
      <c r="L1418" s="7">
        <v>45642</v>
      </c>
      <c r="M1418" s="6" t="s">
        <v>32</v>
      </c>
      <c r="N1418" s="8" t="s">
        <v>4538</v>
      </c>
      <c r="O1418" s="6">
        <f>HYPERLINK("https://docs.wto.org/imrd/directdoc.asp?DDFDocuments/t/G/SPS/NGBR71.DOCX", "https://docs.wto.org/imrd/directdoc.asp?DDFDocuments/t/G/SPS/NGBR71.DOCX")</f>
      </c>
      <c r="P1418" s="6">
        <f>HYPERLINK("https://docs.wto.org/imrd/directdoc.asp?DDFDocuments/u/G/SPS/NGBR71.DOCX", "https://docs.wto.org/imrd/directdoc.asp?DDFDocuments/u/G/SPS/NGBR71.DOCX")</f>
      </c>
      <c r="Q1418" s="6">
        <f>HYPERLINK("https://docs.wto.org/imrd/directdoc.asp?DDFDocuments/v/G/SPS/NGBR71.DOCX", "https://docs.wto.org/imrd/directdoc.asp?DDFDocuments/v/G/SPS/NGBR71.DOCX")</f>
      </c>
    </row>
    <row r="1419">
      <c r="A1419" s="6" t="s">
        <v>400</v>
      </c>
      <c r="B1419" s="7">
        <v>45582</v>
      </c>
      <c r="C1419" s="9">
        <f>HYPERLINK("https://eping.wto.org/en/Search?viewData= G/TBT/N/USA/2081/Add.3"," G/TBT/N/USA/2081/Add.3")</f>
      </c>
      <c r="D1419" s="8" t="s">
        <v>4539</v>
      </c>
      <c r="E1419" s="8" t="s">
        <v>4540</v>
      </c>
      <c r="F1419" s="8" t="s">
        <v>4541</v>
      </c>
      <c r="G1419" s="8" t="s">
        <v>22</v>
      </c>
      <c r="H1419" s="8" t="s">
        <v>4542</v>
      </c>
      <c r="I1419" s="8" t="s">
        <v>619</v>
      </c>
      <c r="J1419" s="8" t="s">
        <v>22</v>
      </c>
      <c r="K1419" s="6"/>
      <c r="L1419" s="7" t="s">
        <v>22</v>
      </c>
      <c r="M1419" s="6" t="s">
        <v>40</v>
      </c>
      <c r="N1419" s="6"/>
      <c r="O1419" s="6">
        <f>HYPERLINK("https://docs.wto.org/imrd/directdoc.asp?DDFDocuments/t/G/TBTN24/USA2081A3.DOCX", "https://docs.wto.org/imrd/directdoc.asp?DDFDocuments/t/G/TBTN24/USA2081A3.DOCX")</f>
      </c>
      <c r="P1419" s="6">
        <f>HYPERLINK("https://docs.wto.org/imrd/directdoc.asp?DDFDocuments/u/G/TBTN24/USA2081A3.DOCX", "https://docs.wto.org/imrd/directdoc.asp?DDFDocuments/u/G/TBTN24/USA2081A3.DOCX")</f>
      </c>
      <c r="Q1419" s="6">
        <f>HYPERLINK("https://docs.wto.org/imrd/directdoc.asp?DDFDocuments/v/G/TBTN24/USA2081A3.DOCX", "https://docs.wto.org/imrd/directdoc.asp?DDFDocuments/v/G/TBTN24/USA2081A3.DOCX")</f>
      </c>
    </row>
    <row r="1420">
      <c r="A1420" s="6" t="s">
        <v>104</v>
      </c>
      <c r="B1420" s="7">
        <v>45582</v>
      </c>
      <c r="C1420" s="9">
        <f>HYPERLINK("https://eping.wto.org/en/Search?viewData= G/TBT/N/CHN/1932"," G/TBT/N/CHN/1932")</f>
      </c>
      <c r="D1420" s="8" t="s">
        <v>4543</v>
      </c>
      <c r="E1420" s="8" t="s">
        <v>4544</v>
      </c>
      <c r="F1420" s="8" t="s">
        <v>4545</v>
      </c>
      <c r="G1420" s="8" t="s">
        <v>4546</v>
      </c>
      <c r="H1420" s="8" t="s">
        <v>4547</v>
      </c>
      <c r="I1420" s="8" t="s">
        <v>716</v>
      </c>
      <c r="J1420" s="8" t="s">
        <v>22</v>
      </c>
      <c r="K1420" s="6"/>
      <c r="L1420" s="7">
        <v>45642</v>
      </c>
      <c r="M1420" s="6" t="s">
        <v>32</v>
      </c>
      <c r="N1420" s="8" t="s">
        <v>4548</v>
      </c>
      <c r="O1420" s="6">
        <f>HYPERLINK("https://docs.wto.org/imrd/directdoc.asp?DDFDocuments/t/G/TBTN24/CHN1932.DOCX", "https://docs.wto.org/imrd/directdoc.asp?DDFDocuments/t/G/TBTN24/CHN1932.DOCX")</f>
      </c>
      <c r="P1420" s="6">
        <f>HYPERLINK("https://docs.wto.org/imrd/directdoc.asp?DDFDocuments/u/G/TBTN24/CHN1932.DOCX", "https://docs.wto.org/imrd/directdoc.asp?DDFDocuments/u/G/TBTN24/CHN1932.DOCX")</f>
      </c>
      <c r="Q1420" s="6">
        <f>HYPERLINK("https://docs.wto.org/imrd/directdoc.asp?DDFDocuments/v/G/TBTN24/CHN1932.DOCX", "https://docs.wto.org/imrd/directdoc.asp?DDFDocuments/v/G/TBTN24/CHN1932.DOCX")</f>
      </c>
    </row>
    <row r="1421">
      <c r="A1421" s="6" t="s">
        <v>104</v>
      </c>
      <c r="B1421" s="7">
        <v>45582</v>
      </c>
      <c r="C1421" s="9">
        <f>HYPERLINK("https://eping.wto.org/en/Search?viewData= G/TBT/N/CHN/1926"," G/TBT/N/CHN/1926")</f>
      </c>
      <c r="D1421" s="8" t="s">
        <v>4549</v>
      </c>
      <c r="E1421" s="8" t="s">
        <v>4550</v>
      </c>
      <c r="F1421" s="8" t="s">
        <v>4551</v>
      </c>
      <c r="G1421" s="8" t="s">
        <v>4552</v>
      </c>
      <c r="H1421" s="8" t="s">
        <v>4553</v>
      </c>
      <c r="I1421" s="8" t="s">
        <v>39</v>
      </c>
      <c r="J1421" s="8" t="s">
        <v>22</v>
      </c>
      <c r="K1421" s="6"/>
      <c r="L1421" s="7">
        <v>45642</v>
      </c>
      <c r="M1421" s="6" t="s">
        <v>32</v>
      </c>
      <c r="N1421" s="8" t="s">
        <v>4554</v>
      </c>
      <c r="O1421" s="6">
        <f>HYPERLINK("https://docs.wto.org/imrd/directdoc.asp?DDFDocuments/t/G/TBTN24/CHN1926.DOCX", "https://docs.wto.org/imrd/directdoc.asp?DDFDocuments/t/G/TBTN24/CHN1926.DOCX")</f>
      </c>
      <c r="P1421" s="6">
        <f>HYPERLINK("https://docs.wto.org/imrd/directdoc.asp?DDFDocuments/u/G/TBTN24/CHN1926.DOCX", "https://docs.wto.org/imrd/directdoc.asp?DDFDocuments/u/G/TBTN24/CHN1926.DOCX")</f>
      </c>
      <c r="Q1421" s="6">
        <f>HYPERLINK("https://docs.wto.org/imrd/directdoc.asp?DDFDocuments/v/G/TBTN24/CHN1926.DOCX", "https://docs.wto.org/imrd/directdoc.asp?DDFDocuments/v/G/TBTN24/CHN1926.DOCX")</f>
      </c>
    </row>
    <row r="1422">
      <c r="A1422" s="6" t="s">
        <v>4555</v>
      </c>
      <c r="B1422" s="7">
        <v>45582</v>
      </c>
      <c r="C1422" s="9">
        <f>HYPERLINK("https://eping.wto.org/en/Search?viewData= G/TBT/N/LTU/52/Add.1"," G/TBT/N/LTU/52/Add.1")</f>
      </c>
      <c r="D1422" s="8" t="s">
        <v>4556</v>
      </c>
      <c r="E1422" s="8" t="s">
        <v>22</v>
      </c>
      <c r="F1422" s="8" t="s">
        <v>4557</v>
      </c>
      <c r="G1422" s="8" t="s">
        <v>4558</v>
      </c>
      <c r="H1422" s="8" t="s">
        <v>741</v>
      </c>
      <c r="I1422" s="8" t="s">
        <v>88</v>
      </c>
      <c r="J1422" s="8" t="s">
        <v>266</v>
      </c>
      <c r="K1422" s="6"/>
      <c r="L1422" s="7" t="s">
        <v>22</v>
      </c>
      <c r="M1422" s="6" t="s">
        <v>40</v>
      </c>
      <c r="N1422" s="8" t="s">
        <v>4559</v>
      </c>
      <c r="O1422" s="6">
        <f>HYPERLINK("https://docs.wto.org/imrd/directdoc.asp?DDFDocuments/t/G/TBTN24/LTU52A1.DOCX", "https://docs.wto.org/imrd/directdoc.asp?DDFDocuments/t/G/TBTN24/LTU52A1.DOCX")</f>
      </c>
      <c r="P1422" s="6">
        <f>HYPERLINK("https://docs.wto.org/imrd/directdoc.asp?DDFDocuments/u/G/TBTN24/LTU52A1.DOCX", "https://docs.wto.org/imrd/directdoc.asp?DDFDocuments/u/G/TBTN24/LTU52A1.DOCX")</f>
      </c>
      <c r="Q1422" s="6">
        <f>HYPERLINK("https://docs.wto.org/imrd/directdoc.asp?DDFDocuments/v/G/TBTN24/LTU52A1.DOCX", "https://docs.wto.org/imrd/directdoc.asp?DDFDocuments/v/G/TBTN24/LTU52A1.DOCX")</f>
      </c>
    </row>
    <row r="1423">
      <c r="A1423" s="6" t="s">
        <v>68</v>
      </c>
      <c r="B1423" s="7">
        <v>45582</v>
      </c>
      <c r="C1423" s="9">
        <f>HYPERLINK("https://eping.wto.org/en/Search?viewData= G/TBT/N/UGA/1698/Add.1"," G/TBT/N/UGA/1698/Add.1")</f>
      </c>
      <c r="D1423" s="8" t="s">
        <v>4560</v>
      </c>
      <c r="E1423" s="8" t="s">
        <v>4561</v>
      </c>
      <c r="F1423" s="8" t="s">
        <v>4562</v>
      </c>
      <c r="G1423" s="8" t="s">
        <v>4563</v>
      </c>
      <c r="H1423" s="8" t="s">
        <v>4564</v>
      </c>
      <c r="I1423" s="8" t="s">
        <v>80</v>
      </c>
      <c r="J1423" s="8" t="s">
        <v>81</v>
      </c>
      <c r="K1423" s="6"/>
      <c r="L1423" s="7" t="s">
        <v>22</v>
      </c>
      <c r="M1423" s="6" t="s">
        <v>40</v>
      </c>
      <c r="N1423" s="8" t="s">
        <v>4084</v>
      </c>
      <c r="O1423" s="6">
        <f>HYPERLINK("https://docs.wto.org/imrd/directdoc.asp?DDFDocuments/t/G/TBTN22/UGA1698A1.DOCX", "https://docs.wto.org/imrd/directdoc.asp?DDFDocuments/t/G/TBTN22/UGA1698A1.DOCX")</f>
      </c>
      <c r="P1423" s="6">
        <f>HYPERLINK("https://docs.wto.org/imrd/directdoc.asp?DDFDocuments/u/G/TBTN22/UGA1698A1.DOCX", "https://docs.wto.org/imrd/directdoc.asp?DDFDocuments/u/G/TBTN22/UGA1698A1.DOCX")</f>
      </c>
      <c r="Q1423" s="6">
        <f>HYPERLINK("https://docs.wto.org/imrd/directdoc.asp?DDFDocuments/v/G/TBTN22/UGA1698A1.DOCX", "https://docs.wto.org/imrd/directdoc.asp?DDFDocuments/v/G/TBTN22/UGA1698A1.DOCX")</f>
      </c>
    </row>
    <row r="1424">
      <c r="A1424" s="6" t="s">
        <v>68</v>
      </c>
      <c r="B1424" s="7">
        <v>45582</v>
      </c>
      <c r="C1424" s="9">
        <f>HYPERLINK("https://eping.wto.org/en/Search?viewData= G/TBT/N/UGA/1779/Add.1"," G/TBT/N/UGA/1779/Add.1")</f>
      </c>
      <c r="D1424" s="8" t="s">
        <v>4565</v>
      </c>
      <c r="E1424" s="8" t="s">
        <v>4566</v>
      </c>
      <c r="F1424" s="8" t="s">
        <v>4567</v>
      </c>
      <c r="G1424" s="8" t="s">
        <v>4495</v>
      </c>
      <c r="H1424" s="8" t="s">
        <v>4568</v>
      </c>
      <c r="I1424" s="8" t="s">
        <v>790</v>
      </c>
      <c r="J1424" s="8" t="s">
        <v>22</v>
      </c>
      <c r="K1424" s="6"/>
      <c r="L1424" s="7" t="s">
        <v>22</v>
      </c>
      <c r="M1424" s="6" t="s">
        <v>40</v>
      </c>
      <c r="N1424" s="8" t="s">
        <v>4084</v>
      </c>
      <c r="O1424" s="6">
        <f>HYPERLINK("https://docs.wto.org/imrd/directdoc.asp?DDFDocuments/t/G/TBTN23/UGA1779A1.DOCX", "https://docs.wto.org/imrd/directdoc.asp?DDFDocuments/t/G/TBTN23/UGA1779A1.DOCX")</f>
      </c>
      <c r="P1424" s="6">
        <f>HYPERLINK("https://docs.wto.org/imrd/directdoc.asp?DDFDocuments/u/G/TBTN23/UGA1779A1.DOCX", "https://docs.wto.org/imrd/directdoc.asp?DDFDocuments/u/G/TBTN23/UGA1779A1.DOCX")</f>
      </c>
      <c r="Q1424" s="6">
        <f>HYPERLINK("https://docs.wto.org/imrd/directdoc.asp?DDFDocuments/v/G/TBTN23/UGA1779A1.DOCX", "https://docs.wto.org/imrd/directdoc.asp?DDFDocuments/v/G/TBTN23/UGA1779A1.DOCX")</f>
      </c>
    </row>
    <row r="1425">
      <c r="A1425" s="6" t="s">
        <v>400</v>
      </c>
      <c r="B1425" s="7">
        <v>45582</v>
      </c>
      <c r="C1425" s="9">
        <f>HYPERLINK("https://eping.wto.org/en/Search?viewData= G/TBT/N/USA/2059/Add.1"," G/TBT/N/USA/2059/Add.1")</f>
      </c>
      <c r="D1425" s="8" t="s">
        <v>4569</v>
      </c>
      <c r="E1425" s="8" t="s">
        <v>4570</v>
      </c>
      <c r="F1425" s="8" t="s">
        <v>4571</v>
      </c>
      <c r="G1425" s="8" t="s">
        <v>22</v>
      </c>
      <c r="H1425" s="8" t="s">
        <v>635</v>
      </c>
      <c r="I1425" s="8" t="s">
        <v>619</v>
      </c>
      <c r="J1425" s="8" t="s">
        <v>22</v>
      </c>
      <c r="K1425" s="6"/>
      <c r="L1425" s="7" t="s">
        <v>22</v>
      </c>
      <c r="M1425" s="6" t="s">
        <v>40</v>
      </c>
      <c r="N1425" s="8" t="s">
        <v>4572</v>
      </c>
      <c r="O1425" s="6">
        <f>HYPERLINK("https://docs.wto.org/imrd/directdoc.asp?DDFDocuments/t/G/TBTN23/USA2059A1.DOCX", "https://docs.wto.org/imrd/directdoc.asp?DDFDocuments/t/G/TBTN23/USA2059A1.DOCX")</f>
      </c>
      <c r="P1425" s="6">
        <f>HYPERLINK("https://docs.wto.org/imrd/directdoc.asp?DDFDocuments/u/G/TBTN23/USA2059A1.DOCX", "https://docs.wto.org/imrd/directdoc.asp?DDFDocuments/u/G/TBTN23/USA2059A1.DOCX")</f>
      </c>
      <c r="Q1425" s="6">
        <f>HYPERLINK("https://docs.wto.org/imrd/directdoc.asp?DDFDocuments/v/G/TBTN23/USA2059A1.DOCX", "https://docs.wto.org/imrd/directdoc.asp?DDFDocuments/v/G/TBTN23/USA2059A1.DOCX")</f>
      </c>
    </row>
    <row r="1426">
      <c r="A1426" s="6" t="s">
        <v>104</v>
      </c>
      <c r="B1426" s="7">
        <v>45582</v>
      </c>
      <c r="C1426" s="9">
        <f>HYPERLINK("https://eping.wto.org/en/Search?viewData= G/TBT/N/CHN/1914"," G/TBT/N/CHN/1914")</f>
      </c>
      <c r="D1426" s="8" t="s">
        <v>4573</v>
      </c>
      <c r="E1426" s="8" t="s">
        <v>4574</v>
      </c>
      <c r="F1426" s="8" t="s">
        <v>4575</v>
      </c>
      <c r="G1426" s="8" t="s">
        <v>569</v>
      </c>
      <c r="H1426" s="8" t="s">
        <v>2863</v>
      </c>
      <c r="I1426" s="8" t="s">
        <v>619</v>
      </c>
      <c r="J1426" s="8" t="s">
        <v>22</v>
      </c>
      <c r="K1426" s="6"/>
      <c r="L1426" s="7">
        <v>45642</v>
      </c>
      <c r="M1426" s="6" t="s">
        <v>32</v>
      </c>
      <c r="N1426" s="8" t="s">
        <v>4576</v>
      </c>
      <c r="O1426" s="6">
        <f>HYPERLINK("https://docs.wto.org/imrd/directdoc.asp?DDFDocuments/t/G/TBTN24/CHN1914.DOCX", "https://docs.wto.org/imrd/directdoc.asp?DDFDocuments/t/G/TBTN24/CHN1914.DOCX")</f>
      </c>
      <c r="P1426" s="6">
        <f>HYPERLINK("https://docs.wto.org/imrd/directdoc.asp?DDFDocuments/u/G/TBTN24/CHN1914.DOCX", "https://docs.wto.org/imrd/directdoc.asp?DDFDocuments/u/G/TBTN24/CHN1914.DOCX")</f>
      </c>
      <c r="Q1426" s="6">
        <f>HYPERLINK("https://docs.wto.org/imrd/directdoc.asp?DDFDocuments/v/G/TBTN24/CHN1914.DOCX", "https://docs.wto.org/imrd/directdoc.asp?DDFDocuments/v/G/TBTN24/CHN1914.DOCX")</f>
      </c>
    </row>
    <row r="1427">
      <c r="A1427" s="6" t="s">
        <v>68</v>
      </c>
      <c r="B1427" s="7">
        <v>45582</v>
      </c>
      <c r="C1427" s="9">
        <f>HYPERLINK("https://eping.wto.org/en/Search?viewData= G/TBT/N/UGA/1801/Add.1"," G/TBT/N/UGA/1801/Add.1")</f>
      </c>
      <c r="D1427" s="8" t="s">
        <v>4577</v>
      </c>
      <c r="E1427" s="8" t="s">
        <v>4578</v>
      </c>
      <c r="F1427" s="8" t="s">
        <v>4579</v>
      </c>
      <c r="G1427" s="8" t="s">
        <v>4580</v>
      </c>
      <c r="H1427" s="8" t="s">
        <v>4581</v>
      </c>
      <c r="I1427" s="8" t="s">
        <v>2854</v>
      </c>
      <c r="J1427" s="8" t="s">
        <v>22</v>
      </c>
      <c r="K1427" s="6"/>
      <c r="L1427" s="7" t="s">
        <v>22</v>
      </c>
      <c r="M1427" s="6" t="s">
        <v>40</v>
      </c>
      <c r="N1427" s="8" t="s">
        <v>4084</v>
      </c>
      <c r="O1427" s="6">
        <f>HYPERLINK("https://docs.wto.org/imrd/directdoc.asp?DDFDocuments/t/G/TBTN23/UGA1801A1.DOCX", "https://docs.wto.org/imrd/directdoc.asp?DDFDocuments/t/G/TBTN23/UGA1801A1.DOCX")</f>
      </c>
      <c r="P1427" s="6">
        <f>HYPERLINK("https://docs.wto.org/imrd/directdoc.asp?DDFDocuments/u/G/TBTN23/UGA1801A1.DOCX", "https://docs.wto.org/imrd/directdoc.asp?DDFDocuments/u/G/TBTN23/UGA1801A1.DOCX")</f>
      </c>
      <c r="Q1427" s="6">
        <f>HYPERLINK("https://docs.wto.org/imrd/directdoc.asp?DDFDocuments/v/G/TBTN23/UGA1801A1.DOCX", "https://docs.wto.org/imrd/directdoc.asp?DDFDocuments/v/G/TBTN23/UGA1801A1.DOCX")</f>
      </c>
    </row>
    <row r="1428">
      <c r="A1428" s="6" t="s">
        <v>104</v>
      </c>
      <c r="B1428" s="7">
        <v>45582</v>
      </c>
      <c r="C1428" s="9">
        <f>HYPERLINK("https://eping.wto.org/en/Search?viewData= G/TBT/N/CHN/1921"," G/TBT/N/CHN/1921")</f>
      </c>
      <c r="D1428" s="8" t="s">
        <v>4582</v>
      </c>
      <c r="E1428" s="8" t="s">
        <v>4583</v>
      </c>
      <c r="F1428" s="8" t="s">
        <v>4584</v>
      </c>
      <c r="G1428" s="8" t="s">
        <v>22</v>
      </c>
      <c r="H1428" s="8" t="s">
        <v>4585</v>
      </c>
      <c r="I1428" s="8" t="s">
        <v>1819</v>
      </c>
      <c r="J1428" s="8" t="s">
        <v>22</v>
      </c>
      <c r="K1428" s="6"/>
      <c r="L1428" s="7">
        <v>45642</v>
      </c>
      <c r="M1428" s="6" t="s">
        <v>32</v>
      </c>
      <c r="N1428" s="8" t="s">
        <v>4586</v>
      </c>
      <c r="O1428" s="6">
        <f>HYPERLINK("https://docs.wto.org/imrd/directdoc.asp?DDFDocuments/t/G/TBTN24/CHN1921.DOCX", "https://docs.wto.org/imrd/directdoc.asp?DDFDocuments/t/G/TBTN24/CHN1921.DOCX")</f>
      </c>
      <c r="P1428" s="6">
        <f>HYPERLINK("https://docs.wto.org/imrd/directdoc.asp?DDFDocuments/u/G/TBTN24/CHN1921.DOCX", "https://docs.wto.org/imrd/directdoc.asp?DDFDocuments/u/G/TBTN24/CHN1921.DOCX")</f>
      </c>
      <c r="Q1428" s="6">
        <f>HYPERLINK("https://docs.wto.org/imrd/directdoc.asp?DDFDocuments/v/G/TBTN24/CHN1921.DOCX", "https://docs.wto.org/imrd/directdoc.asp?DDFDocuments/v/G/TBTN24/CHN1921.DOCX")</f>
      </c>
    </row>
    <row r="1429">
      <c r="A1429" s="6" t="s">
        <v>68</v>
      </c>
      <c r="B1429" s="7">
        <v>45582</v>
      </c>
      <c r="C1429" s="9">
        <f>HYPERLINK("https://eping.wto.org/en/Search?viewData= G/TBT/N/UGA/1821/Add.1"," G/TBT/N/UGA/1821/Add.1")</f>
      </c>
      <c r="D1429" s="8" t="s">
        <v>4587</v>
      </c>
      <c r="E1429" s="8" t="s">
        <v>4588</v>
      </c>
      <c r="F1429" s="8" t="s">
        <v>4589</v>
      </c>
      <c r="G1429" s="8" t="s">
        <v>4590</v>
      </c>
      <c r="H1429" s="8" t="s">
        <v>4591</v>
      </c>
      <c r="I1429" s="8" t="s">
        <v>4592</v>
      </c>
      <c r="J1429" s="8" t="s">
        <v>22</v>
      </c>
      <c r="K1429" s="6"/>
      <c r="L1429" s="7" t="s">
        <v>22</v>
      </c>
      <c r="M1429" s="6" t="s">
        <v>40</v>
      </c>
      <c r="N1429" s="8" t="s">
        <v>4084</v>
      </c>
      <c r="O1429" s="6">
        <f>HYPERLINK("https://docs.wto.org/imrd/directdoc.asp?DDFDocuments/t/G/TBTN23/UGA1821A1.DOCX", "https://docs.wto.org/imrd/directdoc.asp?DDFDocuments/t/G/TBTN23/UGA1821A1.DOCX")</f>
      </c>
      <c r="P1429" s="6">
        <f>HYPERLINK("https://docs.wto.org/imrd/directdoc.asp?DDFDocuments/u/G/TBTN23/UGA1821A1.DOCX", "https://docs.wto.org/imrd/directdoc.asp?DDFDocuments/u/G/TBTN23/UGA1821A1.DOCX")</f>
      </c>
      <c r="Q1429" s="6">
        <f>HYPERLINK("https://docs.wto.org/imrd/directdoc.asp?DDFDocuments/v/G/TBTN23/UGA1821A1.DOCX", "https://docs.wto.org/imrd/directdoc.asp?DDFDocuments/v/G/TBTN23/UGA1821A1.DOCX")</f>
      </c>
    </row>
    <row r="1430">
      <c r="A1430" s="6" t="s">
        <v>472</v>
      </c>
      <c r="B1430" s="7">
        <v>45582</v>
      </c>
      <c r="C1430" s="9">
        <f>HYPERLINK("https://eping.wto.org/en/Search?viewData= G/SPS/N/JPN/1305"," G/SPS/N/JPN/1305")</f>
      </c>
      <c r="D1430" s="8" t="s">
        <v>4593</v>
      </c>
      <c r="E1430" s="8" t="s">
        <v>4594</v>
      </c>
      <c r="F1430" s="8" t="s">
        <v>4595</v>
      </c>
      <c r="G1430" s="8" t="s">
        <v>22</v>
      </c>
      <c r="H1430" s="8" t="s">
        <v>22</v>
      </c>
      <c r="I1430" s="8" t="s">
        <v>175</v>
      </c>
      <c r="J1430" s="8" t="s">
        <v>337</v>
      </c>
      <c r="K1430" s="6" t="s">
        <v>22</v>
      </c>
      <c r="L1430" s="7" t="s">
        <v>22</v>
      </c>
      <c r="M1430" s="6" t="s">
        <v>32</v>
      </c>
      <c r="N1430" s="8" t="s">
        <v>4596</v>
      </c>
      <c r="O1430" s="6">
        <f>HYPERLINK("https://docs.wto.org/imrd/directdoc.asp?DDFDocuments/t/G/SPS/NJPN1305.DOCX", "https://docs.wto.org/imrd/directdoc.asp?DDFDocuments/t/G/SPS/NJPN1305.DOCX")</f>
      </c>
      <c r="P1430" s="6">
        <f>HYPERLINK("https://docs.wto.org/imrd/directdoc.asp?DDFDocuments/u/G/SPS/NJPN1305.DOCX", "https://docs.wto.org/imrd/directdoc.asp?DDFDocuments/u/G/SPS/NJPN1305.DOCX")</f>
      </c>
      <c r="Q1430" s="6">
        <f>HYPERLINK("https://docs.wto.org/imrd/directdoc.asp?DDFDocuments/v/G/SPS/NJPN1305.DOCX", "https://docs.wto.org/imrd/directdoc.asp?DDFDocuments/v/G/SPS/NJPN1305.DOCX")</f>
      </c>
    </row>
    <row r="1431">
      <c r="A1431" s="6" t="s">
        <v>68</v>
      </c>
      <c r="B1431" s="7">
        <v>45582</v>
      </c>
      <c r="C1431" s="9">
        <f>HYPERLINK("https://eping.wto.org/en/Search?viewData= G/TBT/N/UGA/1831/Add.1"," G/TBT/N/UGA/1831/Add.1")</f>
      </c>
      <c r="D1431" s="8" t="s">
        <v>4597</v>
      </c>
      <c r="E1431" s="8" t="s">
        <v>4598</v>
      </c>
      <c r="F1431" s="8" t="s">
        <v>4599</v>
      </c>
      <c r="G1431" s="8" t="s">
        <v>4600</v>
      </c>
      <c r="H1431" s="8" t="s">
        <v>4591</v>
      </c>
      <c r="I1431" s="8" t="s">
        <v>4601</v>
      </c>
      <c r="J1431" s="8" t="s">
        <v>22</v>
      </c>
      <c r="K1431" s="6"/>
      <c r="L1431" s="7" t="s">
        <v>22</v>
      </c>
      <c r="M1431" s="6" t="s">
        <v>40</v>
      </c>
      <c r="N1431" s="8" t="s">
        <v>4084</v>
      </c>
      <c r="O1431" s="6">
        <f>HYPERLINK("https://docs.wto.org/imrd/directdoc.asp?DDFDocuments/t/G/TBTN23/UGA1831A1.DOCX", "https://docs.wto.org/imrd/directdoc.asp?DDFDocuments/t/G/TBTN23/UGA1831A1.DOCX")</f>
      </c>
      <c r="P1431" s="6">
        <f>HYPERLINK("https://docs.wto.org/imrd/directdoc.asp?DDFDocuments/u/G/TBTN23/UGA1831A1.DOCX", "https://docs.wto.org/imrd/directdoc.asp?DDFDocuments/u/G/TBTN23/UGA1831A1.DOCX")</f>
      </c>
      <c r="Q1431" s="6">
        <f>HYPERLINK("https://docs.wto.org/imrd/directdoc.asp?DDFDocuments/v/G/TBTN23/UGA1831A1.DOCX", "https://docs.wto.org/imrd/directdoc.asp?DDFDocuments/v/G/TBTN23/UGA1831A1.DOCX")</f>
      </c>
    </row>
    <row r="1432">
      <c r="A1432" s="6" t="s">
        <v>400</v>
      </c>
      <c r="B1432" s="7">
        <v>45582</v>
      </c>
      <c r="C1432" s="9">
        <f>HYPERLINK("https://eping.wto.org/en/Search?viewData= G/TBT/N/USA/1839/Add.1/Corr.1"," G/TBT/N/USA/1839/Add.1/Corr.1")</f>
      </c>
      <c r="D1432" s="8" t="s">
        <v>4602</v>
      </c>
      <c r="E1432" s="8" t="s">
        <v>4603</v>
      </c>
      <c r="F1432" s="8" t="s">
        <v>2616</v>
      </c>
      <c r="G1432" s="8" t="s">
        <v>22</v>
      </c>
      <c r="H1432" s="8" t="s">
        <v>4604</v>
      </c>
      <c r="I1432" s="8" t="s">
        <v>4605</v>
      </c>
      <c r="J1432" s="8" t="s">
        <v>4606</v>
      </c>
      <c r="K1432" s="6"/>
      <c r="L1432" s="7" t="s">
        <v>22</v>
      </c>
      <c r="M1432" s="6" t="s">
        <v>248</v>
      </c>
      <c r="N1432" s="8" t="s">
        <v>4607</v>
      </c>
      <c r="O1432" s="6">
        <f>HYPERLINK("https://docs.wto.org/imrd/directdoc.asp?DDFDocuments/t/G/TBTN24/USA1839A1C1.DOCX", "https://docs.wto.org/imrd/directdoc.asp?DDFDocuments/t/G/TBTN24/USA1839A1C1.DOCX")</f>
      </c>
      <c r="P1432" s="6">
        <f>HYPERLINK("https://docs.wto.org/imrd/directdoc.asp?DDFDocuments/u/G/TBTN24/USA1839A1C1.DOCX", "https://docs.wto.org/imrd/directdoc.asp?DDFDocuments/u/G/TBTN24/USA1839A1C1.DOCX")</f>
      </c>
      <c r="Q1432" s="6">
        <f>HYPERLINK("https://docs.wto.org/imrd/directdoc.asp?DDFDocuments/v/G/TBTN24/USA1839A1C1.DOCX", "https://docs.wto.org/imrd/directdoc.asp?DDFDocuments/v/G/TBTN24/USA1839A1C1.DOCX")</f>
      </c>
    </row>
    <row r="1433">
      <c r="A1433" s="6" t="s">
        <v>104</v>
      </c>
      <c r="B1433" s="7">
        <v>45582</v>
      </c>
      <c r="C1433" s="9">
        <f>HYPERLINK("https://eping.wto.org/en/Search?viewData= G/TBT/N/CHN/1924"," G/TBT/N/CHN/1924")</f>
      </c>
      <c r="D1433" s="8" t="s">
        <v>4608</v>
      </c>
      <c r="E1433" s="8" t="s">
        <v>4609</v>
      </c>
      <c r="F1433" s="8" t="s">
        <v>4610</v>
      </c>
      <c r="G1433" s="8" t="s">
        <v>3107</v>
      </c>
      <c r="H1433" s="8" t="s">
        <v>4611</v>
      </c>
      <c r="I1433" s="8" t="s">
        <v>2475</v>
      </c>
      <c r="J1433" s="8" t="s">
        <v>22</v>
      </c>
      <c r="K1433" s="6"/>
      <c r="L1433" s="7">
        <v>45642</v>
      </c>
      <c r="M1433" s="6" t="s">
        <v>32</v>
      </c>
      <c r="N1433" s="8" t="s">
        <v>4612</v>
      </c>
      <c r="O1433" s="6">
        <f>HYPERLINK("https://docs.wto.org/imrd/directdoc.asp?DDFDocuments/t/G/TBTN24/CHN1924.DOCX", "https://docs.wto.org/imrd/directdoc.asp?DDFDocuments/t/G/TBTN24/CHN1924.DOCX")</f>
      </c>
      <c r="P1433" s="6">
        <f>HYPERLINK("https://docs.wto.org/imrd/directdoc.asp?DDFDocuments/u/G/TBTN24/CHN1924.DOCX", "https://docs.wto.org/imrd/directdoc.asp?DDFDocuments/u/G/TBTN24/CHN1924.DOCX")</f>
      </c>
      <c r="Q1433" s="6">
        <f>HYPERLINK("https://docs.wto.org/imrd/directdoc.asp?DDFDocuments/v/G/TBTN24/CHN1924.DOCX", "https://docs.wto.org/imrd/directdoc.asp?DDFDocuments/v/G/TBTN24/CHN1924.DOCX")</f>
      </c>
    </row>
    <row r="1434">
      <c r="A1434" s="6" t="s">
        <v>104</v>
      </c>
      <c r="B1434" s="7">
        <v>45582</v>
      </c>
      <c r="C1434" s="9">
        <f>HYPERLINK("https://eping.wto.org/en/Search?viewData= G/TBT/N/CHN/1931"," G/TBT/N/CHN/1931")</f>
      </c>
      <c r="D1434" s="8" t="s">
        <v>4613</v>
      </c>
      <c r="E1434" s="8" t="s">
        <v>4614</v>
      </c>
      <c r="F1434" s="8" t="s">
        <v>4615</v>
      </c>
      <c r="G1434" s="8" t="s">
        <v>3278</v>
      </c>
      <c r="H1434" s="8" t="s">
        <v>1447</v>
      </c>
      <c r="I1434" s="8" t="s">
        <v>641</v>
      </c>
      <c r="J1434" s="8" t="s">
        <v>22</v>
      </c>
      <c r="K1434" s="6"/>
      <c r="L1434" s="7">
        <v>45642</v>
      </c>
      <c r="M1434" s="6" t="s">
        <v>32</v>
      </c>
      <c r="N1434" s="8" t="s">
        <v>4616</v>
      </c>
      <c r="O1434" s="6">
        <f>HYPERLINK("https://docs.wto.org/imrd/directdoc.asp?DDFDocuments/t/G/TBTN24/CHN1931.DOCX", "https://docs.wto.org/imrd/directdoc.asp?DDFDocuments/t/G/TBTN24/CHN1931.DOCX")</f>
      </c>
      <c r="P1434" s="6">
        <f>HYPERLINK("https://docs.wto.org/imrd/directdoc.asp?DDFDocuments/u/G/TBTN24/CHN1931.DOCX", "https://docs.wto.org/imrd/directdoc.asp?DDFDocuments/u/G/TBTN24/CHN1931.DOCX")</f>
      </c>
      <c r="Q1434" s="6">
        <f>HYPERLINK("https://docs.wto.org/imrd/directdoc.asp?DDFDocuments/v/G/TBTN24/CHN1931.DOCX", "https://docs.wto.org/imrd/directdoc.asp?DDFDocuments/v/G/TBTN24/CHN1931.DOCX")</f>
      </c>
    </row>
    <row r="1435">
      <c r="A1435" s="6" t="s">
        <v>400</v>
      </c>
      <c r="B1435" s="7">
        <v>45582</v>
      </c>
      <c r="C1435" s="9">
        <f>HYPERLINK("https://eping.wto.org/en/Search?viewData= G/TBT/N/USA/2067/Add.1"," G/TBT/N/USA/2067/Add.1")</f>
      </c>
      <c r="D1435" s="8" t="s">
        <v>2316</v>
      </c>
      <c r="E1435" s="8" t="s">
        <v>4617</v>
      </c>
      <c r="F1435" s="8" t="s">
        <v>2318</v>
      </c>
      <c r="G1435" s="8" t="s">
        <v>22</v>
      </c>
      <c r="H1435" s="8" t="s">
        <v>2319</v>
      </c>
      <c r="I1435" s="8" t="s">
        <v>292</v>
      </c>
      <c r="J1435" s="8" t="s">
        <v>266</v>
      </c>
      <c r="K1435" s="6"/>
      <c r="L1435" s="7" t="s">
        <v>22</v>
      </c>
      <c r="M1435" s="6" t="s">
        <v>40</v>
      </c>
      <c r="N1435" s="8" t="s">
        <v>4618</v>
      </c>
      <c r="O1435" s="6">
        <f>HYPERLINK("https://docs.wto.org/imrd/directdoc.asp?DDFDocuments/t/G/TBTN23/USA2067A1.DOCX", "https://docs.wto.org/imrd/directdoc.asp?DDFDocuments/t/G/TBTN23/USA2067A1.DOCX")</f>
      </c>
      <c r="P1435" s="6">
        <f>HYPERLINK("https://docs.wto.org/imrd/directdoc.asp?DDFDocuments/u/G/TBTN23/USA2067A1.DOCX", "https://docs.wto.org/imrd/directdoc.asp?DDFDocuments/u/G/TBTN23/USA2067A1.DOCX")</f>
      </c>
      <c r="Q1435" s="6">
        <f>HYPERLINK("https://docs.wto.org/imrd/directdoc.asp?DDFDocuments/v/G/TBTN23/USA2067A1.DOCX", "https://docs.wto.org/imrd/directdoc.asp?DDFDocuments/v/G/TBTN23/USA2067A1.DOCX")</f>
      </c>
    </row>
    <row r="1436">
      <c r="A1436" s="6" t="s">
        <v>333</v>
      </c>
      <c r="B1436" s="7">
        <v>45582</v>
      </c>
      <c r="C1436" s="9">
        <f>HYPERLINK("https://eping.wto.org/en/Search?viewData= G/SPS/N/AUS/607"," G/SPS/N/AUS/607")</f>
      </c>
      <c r="D1436" s="8" t="s">
        <v>4619</v>
      </c>
      <c r="E1436" s="8" t="s">
        <v>4620</v>
      </c>
      <c r="F1436" s="8" t="s">
        <v>4621</v>
      </c>
      <c r="G1436" s="8" t="s">
        <v>4622</v>
      </c>
      <c r="H1436" s="8" t="s">
        <v>22</v>
      </c>
      <c r="I1436" s="8" t="s">
        <v>128</v>
      </c>
      <c r="J1436" s="8" t="s">
        <v>1262</v>
      </c>
      <c r="K1436" s="6" t="s">
        <v>472</v>
      </c>
      <c r="L1436" s="7">
        <v>45642</v>
      </c>
      <c r="M1436" s="6" t="s">
        <v>32</v>
      </c>
      <c r="N1436" s="8" t="s">
        <v>4623</v>
      </c>
      <c r="O1436" s="6">
        <f>HYPERLINK("https://docs.wto.org/imrd/directdoc.asp?DDFDocuments/t/G/SPS/NAUS607.DOCX", "https://docs.wto.org/imrd/directdoc.asp?DDFDocuments/t/G/SPS/NAUS607.DOCX")</f>
      </c>
      <c r="P1436" s="6">
        <f>HYPERLINK("https://docs.wto.org/imrd/directdoc.asp?DDFDocuments/u/G/SPS/NAUS607.DOCX", "https://docs.wto.org/imrd/directdoc.asp?DDFDocuments/u/G/SPS/NAUS607.DOCX")</f>
      </c>
      <c r="Q1436" s="6">
        <f>HYPERLINK("https://docs.wto.org/imrd/directdoc.asp?DDFDocuments/v/G/SPS/NAUS607.DOCX", "https://docs.wto.org/imrd/directdoc.asp?DDFDocuments/v/G/SPS/NAUS607.DOCX")</f>
      </c>
    </row>
    <row r="1437">
      <c r="A1437" s="6" t="s">
        <v>400</v>
      </c>
      <c r="B1437" s="7">
        <v>45582</v>
      </c>
      <c r="C1437" s="9">
        <f>HYPERLINK("https://eping.wto.org/en/Search?viewData= G/TBT/N/USA/2123/Add.2"," G/TBT/N/USA/2123/Add.2")</f>
      </c>
      <c r="D1437" s="8" t="s">
        <v>4097</v>
      </c>
      <c r="E1437" s="8" t="s">
        <v>4624</v>
      </c>
      <c r="F1437" s="8" t="s">
        <v>4099</v>
      </c>
      <c r="G1437" s="8" t="s">
        <v>22</v>
      </c>
      <c r="H1437" s="8" t="s">
        <v>4100</v>
      </c>
      <c r="I1437" s="8" t="s">
        <v>619</v>
      </c>
      <c r="J1437" s="8" t="s">
        <v>22</v>
      </c>
      <c r="K1437" s="6"/>
      <c r="L1437" s="7" t="s">
        <v>22</v>
      </c>
      <c r="M1437" s="6" t="s">
        <v>40</v>
      </c>
      <c r="N1437" s="6"/>
      <c r="O1437" s="6">
        <f>HYPERLINK("https://docs.wto.org/imrd/directdoc.asp?DDFDocuments/t/G/TBTN24/USA2123A2.DOCX", "https://docs.wto.org/imrd/directdoc.asp?DDFDocuments/t/G/TBTN24/USA2123A2.DOCX")</f>
      </c>
      <c r="P1437" s="6">
        <f>HYPERLINK("https://docs.wto.org/imrd/directdoc.asp?DDFDocuments/u/G/TBTN24/USA2123A2.DOCX", "https://docs.wto.org/imrd/directdoc.asp?DDFDocuments/u/G/TBTN24/USA2123A2.DOCX")</f>
      </c>
      <c r="Q1437" s="6">
        <f>HYPERLINK("https://docs.wto.org/imrd/directdoc.asp?DDFDocuments/v/G/TBTN24/USA2123A2.DOCX", "https://docs.wto.org/imrd/directdoc.asp?DDFDocuments/v/G/TBTN24/USA2123A2.DOCX")</f>
      </c>
    </row>
    <row r="1438">
      <c r="A1438" s="6" t="s">
        <v>68</v>
      </c>
      <c r="B1438" s="7">
        <v>45582</v>
      </c>
      <c r="C1438" s="9">
        <f>HYPERLINK("https://eping.wto.org/en/Search?viewData= G/TBT/N/UGA/1830/Add.1"," G/TBT/N/UGA/1830/Add.1")</f>
      </c>
      <c r="D1438" s="8" t="s">
        <v>4625</v>
      </c>
      <c r="E1438" s="8" t="s">
        <v>4626</v>
      </c>
      <c r="F1438" s="8" t="s">
        <v>4627</v>
      </c>
      <c r="G1438" s="8" t="s">
        <v>4590</v>
      </c>
      <c r="H1438" s="8" t="s">
        <v>4591</v>
      </c>
      <c r="I1438" s="8" t="s">
        <v>4628</v>
      </c>
      <c r="J1438" s="8" t="s">
        <v>22</v>
      </c>
      <c r="K1438" s="6"/>
      <c r="L1438" s="7" t="s">
        <v>22</v>
      </c>
      <c r="M1438" s="6" t="s">
        <v>40</v>
      </c>
      <c r="N1438" s="8" t="s">
        <v>4084</v>
      </c>
      <c r="O1438" s="6">
        <f>HYPERLINK("https://docs.wto.org/imrd/directdoc.asp?DDFDocuments/t/G/TBTN23/UGA1830A1.DOCX", "https://docs.wto.org/imrd/directdoc.asp?DDFDocuments/t/G/TBTN23/UGA1830A1.DOCX")</f>
      </c>
      <c r="P1438" s="6">
        <f>HYPERLINK("https://docs.wto.org/imrd/directdoc.asp?DDFDocuments/u/G/TBTN23/UGA1830A1.DOCX", "https://docs.wto.org/imrd/directdoc.asp?DDFDocuments/u/G/TBTN23/UGA1830A1.DOCX")</f>
      </c>
      <c r="Q1438" s="6">
        <f>HYPERLINK("https://docs.wto.org/imrd/directdoc.asp?DDFDocuments/v/G/TBTN23/UGA1830A1.DOCX", "https://docs.wto.org/imrd/directdoc.asp?DDFDocuments/v/G/TBTN23/UGA1830A1.DOCX")</f>
      </c>
    </row>
    <row r="1439">
      <c r="A1439" s="6" t="s">
        <v>68</v>
      </c>
      <c r="B1439" s="7">
        <v>45582</v>
      </c>
      <c r="C1439" s="9">
        <f>HYPERLINK("https://eping.wto.org/en/Search?viewData= G/TBT/N/UGA/1851/Add.1"," G/TBT/N/UGA/1851/Add.1")</f>
      </c>
      <c r="D1439" s="8" t="s">
        <v>4629</v>
      </c>
      <c r="E1439" s="8" t="s">
        <v>4630</v>
      </c>
      <c r="F1439" s="8" t="s">
        <v>4631</v>
      </c>
      <c r="G1439" s="8" t="s">
        <v>4632</v>
      </c>
      <c r="H1439" s="8" t="s">
        <v>4633</v>
      </c>
      <c r="I1439" s="8" t="s">
        <v>4634</v>
      </c>
      <c r="J1439" s="8" t="s">
        <v>22</v>
      </c>
      <c r="K1439" s="6"/>
      <c r="L1439" s="7" t="s">
        <v>22</v>
      </c>
      <c r="M1439" s="6" t="s">
        <v>40</v>
      </c>
      <c r="N1439" s="8" t="s">
        <v>4084</v>
      </c>
      <c r="O1439" s="6">
        <f>HYPERLINK("https://docs.wto.org/imrd/directdoc.asp?DDFDocuments/t/G/TBTN23/UGA1851A1.DOCX", "https://docs.wto.org/imrd/directdoc.asp?DDFDocuments/t/G/TBTN23/UGA1851A1.DOCX")</f>
      </c>
      <c r="P1439" s="6">
        <f>HYPERLINK("https://docs.wto.org/imrd/directdoc.asp?DDFDocuments/u/G/TBTN23/UGA1851A1.DOCX", "https://docs.wto.org/imrd/directdoc.asp?DDFDocuments/u/G/TBTN23/UGA1851A1.DOCX")</f>
      </c>
      <c r="Q1439" s="6">
        <f>HYPERLINK("https://docs.wto.org/imrd/directdoc.asp?DDFDocuments/v/G/TBTN23/UGA1851A1.DOCX", "https://docs.wto.org/imrd/directdoc.asp?DDFDocuments/v/G/TBTN23/UGA1851A1.DOCX")</f>
      </c>
    </row>
    <row r="1440">
      <c r="A1440" s="6" t="s">
        <v>104</v>
      </c>
      <c r="B1440" s="7">
        <v>45582</v>
      </c>
      <c r="C1440" s="9">
        <f>HYPERLINK("https://eping.wto.org/en/Search?viewData= G/TBT/N/CHN/1922"," G/TBT/N/CHN/1922")</f>
      </c>
      <c r="D1440" s="8" t="s">
        <v>4635</v>
      </c>
      <c r="E1440" s="8" t="s">
        <v>4636</v>
      </c>
      <c r="F1440" s="8" t="s">
        <v>4637</v>
      </c>
      <c r="G1440" s="8" t="s">
        <v>4420</v>
      </c>
      <c r="H1440" s="8" t="s">
        <v>3529</v>
      </c>
      <c r="I1440" s="8" t="s">
        <v>203</v>
      </c>
      <c r="J1440" s="8" t="s">
        <v>22</v>
      </c>
      <c r="K1440" s="6"/>
      <c r="L1440" s="7">
        <v>45642</v>
      </c>
      <c r="M1440" s="6" t="s">
        <v>32</v>
      </c>
      <c r="N1440" s="8" t="s">
        <v>4638</v>
      </c>
      <c r="O1440" s="6">
        <f>HYPERLINK("https://docs.wto.org/imrd/directdoc.asp?DDFDocuments/t/G/TBTN24/CHN1922.DOCX", "https://docs.wto.org/imrd/directdoc.asp?DDFDocuments/t/G/TBTN24/CHN1922.DOCX")</f>
      </c>
      <c r="P1440" s="6">
        <f>HYPERLINK("https://docs.wto.org/imrd/directdoc.asp?DDFDocuments/u/G/TBTN24/CHN1922.DOCX", "https://docs.wto.org/imrd/directdoc.asp?DDFDocuments/u/G/TBTN24/CHN1922.DOCX")</f>
      </c>
      <c r="Q1440" s="6">
        <f>HYPERLINK("https://docs.wto.org/imrd/directdoc.asp?DDFDocuments/v/G/TBTN24/CHN1922.DOCX", "https://docs.wto.org/imrd/directdoc.asp?DDFDocuments/v/G/TBTN24/CHN1922.DOCX")</f>
      </c>
    </row>
    <row r="1441">
      <c r="A1441" s="6" t="s">
        <v>104</v>
      </c>
      <c r="B1441" s="7">
        <v>45582</v>
      </c>
      <c r="C1441" s="9">
        <f>HYPERLINK("https://eping.wto.org/en/Search?viewData= G/TBT/N/CHN/1918"," G/TBT/N/CHN/1918")</f>
      </c>
      <c r="D1441" s="8" t="s">
        <v>4639</v>
      </c>
      <c r="E1441" s="8" t="s">
        <v>4640</v>
      </c>
      <c r="F1441" s="8" t="s">
        <v>4641</v>
      </c>
      <c r="G1441" s="8" t="s">
        <v>4642</v>
      </c>
      <c r="H1441" s="8" t="s">
        <v>4643</v>
      </c>
      <c r="I1441" s="8" t="s">
        <v>39</v>
      </c>
      <c r="J1441" s="8" t="s">
        <v>22</v>
      </c>
      <c r="K1441" s="6"/>
      <c r="L1441" s="7">
        <v>45642</v>
      </c>
      <c r="M1441" s="6" t="s">
        <v>32</v>
      </c>
      <c r="N1441" s="8" t="s">
        <v>4644</v>
      </c>
      <c r="O1441" s="6">
        <f>HYPERLINK("https://docs.wto.org/imrd/directdoc.asp?DDFDocuments/t/G/TBTN24/CHN1918.DOCX", "https://docs.wto.org/imrd/directdoc.asp?DDFDocuments/t/G/TBTN24/CHN1918.DOCX")</f>
      </c>
      <c r="P1441" s="6">
        <f>HYPERLINK("https://docs.wto.org/imrd/directdoc.asp?DDFDocuments/u/G/TBTN24/CHN1918.DOCX", "https://docs.wto.org/imrd/directdoc.asp?DDFDocuments/u/G/TBTN24/CHN1918.DOCX")</f>
      </c>
      <c r="Q1441" s="6">
        <f>HYPERLINK("https://docs.wto.org/imrd/directdoc.asp?DDFDocuments/v/G/TBTN24/CHN1918.DOCX", "https://docs.wto.org/imrd/directdoc.asp?DDFDocuments/v/G/TBTN24/CHN1918.DOCX")</f>
      </c>
    </row>
    <row r="1442">
      <c r="A1442" s="6" t="s">
        <v>104</v>
      </c>
      <c r="B1442" s="7">
        <v>45582</v>
      </c>
      <c r="C1442" s="9">
        <f>HYPERLINK("https://eping.wto.org/en/Search?viewData= G/TBT/N/CHN/1928"," G/TBT/N/CHN/1928")</f>
      </c>
      <c r="D1442" s="8" t="s">
        <v>4645</v>
      </c>
      <c r="E1442" s="8" t="s">
        <v>4646</v>
      </c>
      <c r="F1442" s="8" t="s">
        <v>4647</v>
      </c>
      <c r="G1442" s="8" t="s">
        <v>4648</v>
      </c>
      <c r="H1442" s="8" t="s">
        <v>618</v>
      </c>
      <c r="I1442" s="8" t="s">
        <v>619</v>
      </c>
      <c r="J1442" s="8" t="s">
        <v>22</v>
      </c>
      <c r="K1442" s="6"/>
      <c r="L1442" s="7">
        <v>45642</v>
      </c>
      <c r="M1442" s="6" t="s">
        <v>32</v>
      </c>
      <c r="N1442" s="8" t="s">
        <v>4649</v>
      </c>
      <c r="O1442" s="6">
        <f>HYPERLINK("https://docs.wto.org/imrd/directdoc.asp?DDFDocuments/t/G/TBTN24/CHN1928.DOCX", "https://docs.wto.org/imrd/directdoc.asp?DDFDocuments/t/G/TBTN24/CHN1928.DOCX")</f>
      </c>
      <c r="P1442" s="6">
        <f>HYPERLINK("https://docs.wto.org/imrd/directdoc.asp?DDFDocuments/u/G/TBTN24/CHN1928.DOCX", "https://docs.wto.org/imrd/directdoc.asp?DDFDocuments/u/G/TBTN24/CHN1928.DOCX")</f>
      </c>
      <c r="Q1442" s="6">
        <f>HYPERLINK("https://docs.wto.org/imrd/directdoc.asp?DDFDocuments/v/G/TBTN24/CHN1928.DOCX", "https://docs.wto.org/imrd/directdoc.asp?DDFDocuments/v/G/TBTN24/CHN1928.DOCX")</f>
      </c>
    </row>
    <row r="1443">
      <c r="A1443" s="6" t="s">
        <v>400</v>
      </c>
      <c r="B1443" s="7">
        <v>45582</v>
      </c>
      <c r="C1443" s="9">
        <f>HYPERLINK("https://eping.wto.org/en/Search?viewData= G/TBT/N/USA/2055/Add.2"," G/TBT/N/USA/2055/Add.2")</f>
      </c>
      <c r="D1443" s="8" t="s">
        <v>4650</v>
      </c>
      <c r="E1443" s="8" t="s">
        <v>4651</v>
      </c>
      <c r="F1443" s="8" t="s">
        <v>4652</v>
      </c>
      <c r="G1443" s="8" t="s">
        <v>22</v>
      </c>
      <c r="H1443" s="8" t="s">
        <v>4653</v>
      </c>
      <c r="I1443" s="8" t="s">
        <v>292</v>
      </c>
      <c r="J1443" s="8" t="s">
        <v>22</v>
      </c>
      <c r="K1443" s="6"/>
      <c r="L1443" s="7" t="s">
        <v>22</v>
      </c>
      <c r="M1443" s="6" t="s">
        <v>40</v>
      </c>
      <c r="N1443" s="8" t="s">
        <v>4654</v>
      </c>
      <c r="O1443" s="6">
        <f>HYPERLINK("https://docs.wto.org/imrd/directdoc.asp?DDFDocuments/t/G/TBTN23/USA2055A2.DOCX", "https://docs.wto.org/imrd/directdoc.asp?DDFDocuments/t/G/TBTN23/USA2055A2.DOCX")</f>
      </c>
      <c r="P1443" s="6">
        <f>HYPERLINK("https://docs.wto.org/imrd/directdoc.asp?DDFDocuments/u/G/TBTN23/USA2055A2.DOCX", "https://docs.wto.org/imrd/directdoc.asp?DDFDocuments/u/G/TBTN23/USA2055A2.DOCX")</f>
      </c>
      <c r="Q1443" s="6">
        <f>HYPERLINK("https://docs.wto.org/imrd/directdoc.asp?DDFDocuments/v/G/TBTN23/USA2055A2.DOCX", "https://docs.wto.org/imrd/directdoc.asp?DDFDocuments/v/G/TBTN23/USA2055A2.DOCX")</f>
      </c>
    </row>
    <row r="1444">
      <c r="A1444" s="6" t="s">
        <v>68</v>
      </c>
      <c r="B1444" s="7">
        <v>45582</v>
      </c>
      <c r="C1444" s="9">
        <f>HYPERLINK("https://eping.wto.org/en/Search?viewData= G/TBT/N/UGA/1814/Add.1"," G/TBT/N/UGA/1814/Add.1")</f>
      </c>
      <c r="D1444" s="8" t="s">
        <v>4655</v>
      </c>
      <c r="E1444" s="8" t="s">
        <v>4656</v>
      </c>
      <c r="F1444" s="8" t="s">
        <v>4657</v>
      </c>
      <c r="G1444" s="8" t="s">
        <v>4658</v>
      </c>
      <c r="H1444" s="8" t="s">
        <v>4659</v>
      </c>
      <c r="I1444" s="8" t="s">
        <v>272</v>
      </c>
      <c r="J1444" s="8" t="s">
        <v>22</v>
      </c>
      <c r="K1444" s="6"/>
      <c r="L1444" s="7" t="s">
        <v>22</v>
      </c>
      <c r="M1444" s="6" t="s">
        <v>40</v>
      </c>
      <c r="N1444" s="8" t="s">
        <v>4084</v>
      </c>
      <c r="O1444" s="6">
        <f>HYPERLINK("https://docs.wto.org/imrd/directdoc.asp?DDFDocuments/t/G/TBTN23/UGA1814A1.DOCX", "https://docs.wto.org/imrd/directdoc.asp?DDFDocuments/t/G/TBTN23/UGA1814A1.DOCX")</f>
      </c>
      <c r="P1444" s="6">
        <f>HYPERLINK("https://docs.wto.org/imrd/directdoc.asp?DDFDocuments/u/G/TBTN23/UGA1814A1.DOCX", "https://docs.wto.org/imrd/directdoc.asp?DDFDocuments/u/G/TBTN23/UGA1814A1.DOCX")</f>
      </c>
      <c r="Q1444" s="6">
        <f>HYPERLINK("https://docs.wto.org/imrd/directdoc.asp?DDFDocuments/v/G/TBTN23/UGA1814A1.DOCX", "https://docs.wto.org/imrd/directdoc.asp?DDFDocuments/v/G/TBTN23/UGA1814A1.DOCX")</f>
      </c>
    </row>
    <row r="1445">
      <c r="A1445" s="6" t="s">
        <v>400</v>
      </c>
      <c r="B1445" s="7">
        <v>45582</v>
      </c>
      <c r="C1445" s="9">
        <f>HYPERLINK("https://eping.wto.org/en/Search?viewData= G/TBT/N/USA/2060/Add.1"," G/TBT/N/USA/2060/Add.1")</f>
      </c>
      <c r="D1445" s="8" t="s">
        <v>4660</v>
      </c>
      <c r="E1445" s="8" t="s">
        <v>4661</v>
      </c>
      <c r="F1445" s="8" t="s">
        <v>4662</v>
      </c>
      <c r="G1445" s="8" t="s">
        <v>22</v>
      </c>
      <c r="H1445" s="8" t="s">
        <v>635</v>
      </c>
      <c r="I1445" s="8" t="s">
        <v>619</v>
      </c>
      <c r="J1445" s="8" t="s">
        <v>22</v>
      </c>
      <c r="K1445" s="6"/>
      <c r="L1445" s="7" t="s">
        <v>22</v>
      </c>
      <c r="M1445" s="6" t="s">
        <v>40</v>
      </c>
      <c r="N1445" s="8" t="s">
        <v>4663</v>
      </c>
      <c r="O1445" s="6">
        <f>HYPERLINK("https://docs.wto.org/imrd/directdoc.asp?DDFDocuments/t/G/TBTN23/USA2060A1.DOCX", "https://docs.wto.org/imrd/directdoc.asp?DDFDocuments/t/G/TBTN23/USA2060A1.DOCX")</f>
      </c>
      <c r="P1445" s="6">
        <f>HYPERLINK("https://docs.wto.org/imrd/directdoc.asp?DDFDocuments/u/G/TBTN23/USA2060A1.DOCX", "https://docs.wto.org/imrd/directdoc.asp?DDFDocuments/u/G/TBTN23/USA2060A1.DOCX")</f>
      </c>
      <c r="Q1445" s="6">
        <f>HYPERLINK("https://docs.wto.org/imrd/directdoc.asp?DDFDocuments/v/G/TBTN23/USA2060A1.DOCX", "https://docs.wto.org/imrd/directdoc.asp?DDFDocuments/v/G/TBTN23/USA2060A1.DOCX")</f>
      </c>
    </row>
    <row r="1446">
      <c r="A1446" s="6" t="s">
        <v>104</v>
      </c>
      <c r="B1446" s="7">
        <v>45582</v>
      </c>
      <c r="C1446" s="9">
        <f>HYPERLINK("https://eping.wto.org/en/Search?viewData= G/TBT/N/CHN/1925"," G/TBT/N/CHN/1925")</f>
      </c>
      <c r="D1446" s="8" t="s">
        <v>4664</v>
      </c>
      <c r="E1446" s="8" t="s">
        <v>4665</v>
      </c>
      <c r="F1446" s="8" t="s">
        <v>4666</v>
      </c>
      <c r="G1446" s="8" t="s">
        <v>617</v>
      </c>
      <c r="H1446" s="8" t="s">
        <v>4667</v>
      </c>
      <c r="I1446" s="8" t="s">
        <v>619</v>
      </c>
      <c r="J1446" s="8" t="s">
        <v>22</v>
      </c>
      <c r="K1446" s="6"/>
      <c r="L1446" s="7" t="s">
        <v>22</v>
      </c>
      <c r="M1446" s="6" t="s">
        <v>32</v>
      </c>
      <c r="N1446" s="8" t="s">
        <v>4668</v>
      </c>
      <c r="O1446" s="6">
        <f>HYPERLINK("https://docs.wto.org/imrd/directdoc.asp?DDFDocuments/t/G/TBTN24/CHN1925.DOCX", "https://docs.wto.org/imrd/directdoc.asp?DDFDocuments/t/G/TBTN24/CHN1925.DOCX")</f>
      </c>
      <c r="P1446" s="6">
        <f>HYPERLINK("https://docs.wto.org/imrd/directdoc.asp?DDFDocuments/u/G/TBTN24/CHN1925.DOCX", "https://docs.wto.org/imrd/directdoc.asp?DDFDocuments/u/G/TBTN24/CHN1925.DOCX")</f>
      </c>
      <c r="Q1446" s="6">
        <f>HYPERLINK("https://docs.wto.org/imrd/directdoc.asp?DDFDocuments/v/G/TBTN24/CHN1925.DOCX", "https://docs.wto.org/imrd/directdoc.asp?DDFDocuments/v/G/TBTN24/CHN1925.DOCX")</f>
      </c>
    </row>
    <row r="1447">
      <c r="A1447" s="6" t="s">
        <v>104</v>
      </c>
      <c r="B1447" s="7">
        <v>45582</v>
      </c>
      <c r="C1447" s="9">
        <f>HYPERLINK("https://eping.wto.org/en/Search?viewData= G/TBT/N/CHN/1917"," G/TBT/N/CHN/1917")</f>
      </c>
      <c r="D1447" s="8" t="s">
        <v>4669</v>
      </c>
      <c r="E1447" s="8" t="s">
        <v>4670</v>
      </c>
      <c r="F1447" s="8" t="s">
        <v>4671</v>
      </c>
      <c r="G1447" s="8" t="s">
        <v>4672</v>
      </c>
      <c r="H1447" s="8" t="s">
        <v>4643</v>
      </c>
      <c r="I1447" s="8" t="s">
        <v>39</v>
      </c>
      <c r="J1447" s="8" t="s">
        <v>22</v>
      </c>
      <c r="K1447" s="6"/>
      <c r="L1447" s="7">
        <v>45642</v>
      </c>
      <c r="M1447" s="6" t="s">
        <v>32</v>
      </c>
      <c r="N1447" s="8" t="s">
        <v>4673</v>
      </c>
      <c r="O1447" s="6">
        <f>HYPERLINK("https://docs.wto.org/imrd/directdoc.asp?DDFDocuments/t/G/TBTN24/CHN1917.DOCX", "https://docs.wto.org/imrd/directdoc.asp?DDFDocuments/t/G/TBTN24/CHN1917.DOCX")</f>
      </c>
      <c r="P1447" s="6">
        <f>HYPERLINK("https://docs.wto.org/imrd/directdoc.asp?DDFDocuments/u/G/TBTN24/CHN1917.DOCX", "https://docs.wto.org/imrd/directdoc.asp?DDFDocuments/u/G/TBTN24/CHN1917.DOCX")</f>
      </c>
      <c r="Q1447" s="6">
        <f>HYPERLINK("https://docs.wto.org/imrd/directdoc.asp?DDFDocuments/v/G/TBTN24/CHN1917.DOCX", "https://docs.wto.org/imrd/directdoc.asp?DDFDocuments/v/G/TBTN24/CHN1917.DOCX")</f>
      </c>
    </row>
    <row r="1448">
      <c r="A1448" s="6" t="s">
        <v>104</v>
      </c>
      <c r="B1448" s="7">
        <v>45582</v>
      </c>
      <c r="C1448" s="9">
        <f>HYPERLINK("https://eping.wto.org/en/Search?viewData= G/TBT/N/CHN/1920"," G/TBT/N/CHN/1920")</f>
      </c>
      <c r="D1448" s="8" t="s">
        <v>4674</v>
      </c>
      <c r="E1448" s="8" t="s">
        <v>4675</v>
      </c>
      <c r="F1448" s="8" t="s">
        <v>4676</v>
      </c>
      <c r="G1448" s="8" t="s">
        <v>4677</v>
      </c>
      <c r="H1448" s="8" t="s">
        <v>4678</v>
      </c>
      <c r="I1448" s="8" t="s">
        <v>39</v>
      </c>
      <c r="J1448" s="8" t="s">
        <v>22</v>
      </c>
      <c r="K1448" s="6"/>
      <c r="L1448" s="7" t="s">
        <v>22</v>
      </c>
      <c r="M1448" s="6" t="s">
        <v>32</v>
      </c>
      <c r="N1448" s="8" t="s">
        <v>4679</v>
      </c>
      <c r="O1448" s="6">
        <f>HYPERLINK("https://docs.wto.org/imrd/directdoc.asp?DDFDocuments/t/G/TBTN24/CHN1920.DOCX", "https://docs.wto.org/imrd/directdoc.asp?DDFDocuments/t/G/TBTN24/CHN1920.DOCX")</f>
      </c>
      <c r="P1448" s="6">
        <f>HYPERLINK("https://docs.wto.org/imrd/directdoc.asp?DDFDocuments/u/G/TBTN24/CHN1920.DOCX", "https://docs.wto.org/imrd/directdoc.asp?DDFDocuments/u/G/TBTN24/CHN1920.DOCX")</f>
      </c>
      <c r="Q1448" s="6">
        <f>HYPERLINK("https://docs.wto.org/imrd/directdoc.asp?DDFDocuments/v/G/TBTN24/CHN1920.DOCX", "https://docs.wto.org/imrd/directdoc.asp?DDFDocuments/v/G/TBTN24/CHN1920.DOCX")</f>
      </c>
    </row>
    <row r="1449">
      <c r="A1449" s="6" t="s">
        <v>68</v>
      </c>
      <c r="B1449" s="7">
        <v>45582</v>
      </c>
      <c r="C1449" s="9">
        <f>HYPERLINK("https://eping.wto.org/en/Search?viewData= G/TBT/N/UGA/1820/Add.1"," G/TBT/N/UGA/1820/Add.1")</f>
      </c>
      <c r="D1449" s="8" t="s">
        <v>4680</v>
      </c>
      <c r="E1449" s="8" t="s">
        <v>4681</v>
      </c>
      <c r="F1449" s="8" t="s">
        <v>4682</v>
      </c>
      <c r="G1449" s="8" t="s">
        <v>4600</v>
      </c>
      <c r="H1449" s="8" t="s">
        <v>4591</v>
      </c>
      <c r="I1449" s="8" t="s">
        <v>4592</v>
      </c>
      <c r="J1449" s="8" t="s">
        <v>22</v>
      </c>
      <c r="K1449" s="6"/>
      <c r="L1449" s="7" t="s">
        <v>22</v>
      </c>
      <c r="M1449" s="6" t="s">
        <v>40</v>
      </c>
      <c r="N1449" s="8" t="s">
        <v>4084</v>
      </c>
      <c r="O1449" s="6">
        <f>HYPERLINK("https://docs.wto.org/imrd/directdoc.asp?DDFDocuments/t/G/TBTN23/UGA1820A1.DOCX", "https://docs.wto.org/imrd/directdoc.asp?DDFDocuments/t/G/TBTN23/UGA1820A1.DOCX")</f>
      </c>
      <c r="P1449" s="6">
        <f>HYPERLINK("https://docs.wto.org/imrd/directdoc.asp?DDFDocuments/u/G/TBTN23/UGA1820A1.DOCX", "https://docs.wto.org/imrd/directdoc.asp?DDFDocuments/u/G/TBTN23/UGA1820A1.DOCX")</f>
      </c>
      <c r="Q1449" s="6">
        <f>HYPERLINK("https://docs.wto.org/imrd/directdoc.asp?DDFDocuments/v/G/TBTN23/UGA1820A1.DOCX", "https://docs.wto.org/imrd/directdoc.asp?DDFDocuments/v/G/TBTN23/UGA1820A1.DOCX")</f>
      </c>
    </row>
    <row r="1450">
      <c r="A1450" s="6" t="s">
        <v>418</v>
      </c>
      <c r="B1450" s="7">
        <v>45582</v>
      </c>
      <c r="C1450" s="9">
        <f>HYPERLINK("https://eping.wto.org/en/Search?viewData= G/TBT/N/EU/768/Add.1"," G/TBT/N/EU/768/Add.1")</f>
      </c>
      <c r="D1450" s="8" t="s">
        <v>4683</v>
      </c>
      <c r="E1450" s="8" t="s">
        <v>4684</v>
      </c>
      <c r="F1450" s="8" t="s">
        <v>4685</v>
      </c>
      <c r="G1450" s="8" t="s">
        <v>22</v>
      </c>
      <c r="H1450" s="8" t="s">
        <v>4686</v>
      </c>
      <c r="I1450" s="8" t="s">
        <v>138</v>
      </c>
      <c r="J1450" s="8" t="s">
        <v>22</v>
      </c>
      <c r="K1450" s="6"/>
      <c r="L1450" s="7" t="s">
        <v>22</v>
      </c>
      <c r="M1450" s="6" t="s">
        <v>40</v>
      </c>
      <c r="N1450" s="8" t="s">
        <v>4687</v>
      </c>
      <c r="O1450" s="6">
        <f>HYPERLINK("https://docs.wto.org/imrd/directdoc.asp?DDFDocuments/t/G/TBTN21/EU768A1.DOCX", "https://docs.wto.org/imrd/directdoc.asp?DDFDocuments/t/G/TBTN21/EU768A1.DOCX")</f>
      </c>
      <c r="P1450" s="6">
        <f>HYPERLINK("https://docs.wto.org/imrd/directdoc.asp?DDFDocuments/u/G/TBTN21/EU768A1.DOCX", "https://docs.wto.org/imrd/directdoc.asp?DDFDocuments/u/G/TBTN21/EU768A1.DOCX")</f>
      </c>
      <c r="Q1450" s="6">
        <f>HYPERLINK("https://docs.wto.org/imrd/directdoc.asp?DDFDocuments/v/G/TBTN21/EU768A1.DOCX", "https://docs.wto.org/imrd/directdoc.asp?DDFDocuments/v/G/TBTN21/EU768A1.DOCX")</f>
      </c>
    </row>
    <row r="1451">
      <c r="A1451" s="6" t="s">
        <v>104</v>
      </c>
      <c r="B1451" s="7">
        <v>45582</v>
      </c>
      <c r="C1451" s="9">
        <f>HYPERLINK("https://eping.wto.org/en/Search?viewData= G/TBT/N/CHN/1927"," G/TBT/N/CHN/1927")</f>
      </c>
      <c r="D1451" s="8" t="s">
        <v>4688</v>
      </c>
      <c r="E1451" s="8" t="s">
        <v>4689</v>
      </c>
      <c r="F1451" s="8" t="s">
        <v>4690</v>
      </c>
      <c r="G1451" s="8" t="s">
        <v>3517</v>
      </c>
      <c r="H1451" s="8" t="s">
        <v>3518</v>
      </c>
      <c r="I1451" s="8" t="s">
        <v>39</v>
      </c>
      <c r="J1451" s="8" t="s">
        <v>22</v>
      </c>
      <c r="K1451" s="6"/>
      <c r="L1451" s="7">
        <v>45642</v>
      </c>
      <c r="M1451" s="6" t="s">
        <v>32</v>
      </c>
      <c r="N1451" s="8" t="s">
        <v>4691</v>
      </c>
      <c r="O1451" s="6">
        <f>HYPERLINK("https://docs.wto.org/imrd/directdoc.asp?DDFDocuments/t/G/TBTN24/CHN1927.DOCX", "https://docs.wto.org/imrd/directdoc.asp?DDFDocuments/t/G/TBTN24/CHN1927.DOCX")</f>
      </c>
      <c r="P1451" s="6">
        <f>HYPERLINK("https://docs.wto.org/imrd/directdoc.asp?DDFDocuments/u/G/TBTN24/CHN1927.DOCX", "https://docs.wto.org/imrd/directdoc.asp?DDFDocuments/u/G/TBTN24/CHN1927.DOCX")</f>
      </c>
      <c r="Q1451" s="6">
        <f>HYPERLINK("https://docs.wto.org/imrd/directdoc.asp?DDFDocuments/v/G/TBTN24/CHN1927.DOCX", "https://docs.wto.org/imrd/directdoc.asp?DDFDocuments/v/G/TBTN24/CHN1927.DOCX")</f>
      </c>
    </row>
    <row r="1452">
      <c r="A1452" s="6" t="s">
        <v>104</v>
      </c>
      <c r="B1452" s="7">
        <v>45582</v>
      </c>
      <c r="C1452" s="9">
        <f>HYPERLINK("https://eping.wto.org/en/Search?viewData= G/TBT/N/CHN/1929"," G/TBT/N/CHN/1929")</f>
      </c>
      <c r="D1452" s="8" t="s">
        <v>4692</v>
      </c>
      <c r="E1452" s="8" t="s">
        <v>4693</v>
      </c>
      <c r="F1452" s="8" t="s">
        <v>4694</v>
      </c>
      <c r="G1452" s="8" t="s">
        <v>4695</v>
      </c>
      <c r="H1452" s="8" t="s">
        <v>618</v>
      </c>
      <c r="I1452" s="8" t="s">
        <v>619</v>
      </c>
      <c r="J1452" s="8" t="s">
        <v>22</v>
      </c>
      <c r="K1452" s="6"/>
      <c r="L1452" s="7">
        <v>45642</v>
      </c>
      <c r="M1452" s="6" t="s">
        <v>32</v>
      </c>
      <c r="N1452" s="8" t="s">
        <v>4696</v>
      </c>
      <c r="O1452" s="6">
        <f>HYPERLINK("https://docs.wto.org/imrd/directdoc.asp?DDFDocuments/t/G/TBTN24/CHN1929.DOCX", "https://docs.wto.org/imrd/directdoc.asp?DDFDocuments/t/G/TBTN24/CHN1929.DOCX")</f>
      </c>
      <c r="P1452" s="6">
        <f>HYPERLINK("https://docs.wto.org/imrd/directdoc.asp?DDFDocuments/u/G/TBTN24/CHN1929.DOCX", "https://docs.wto.org/imrd/directdoc.asp?DDFDocuments/u/G/TBTN24/CHN1929.DOCX")</f>
      </c>
      <c r="Q1452" s="6">
        <f>HYPERLINK("https://docs.wto.org/imrd/directdoc.asp?DDFDocuments/v/G/TBTN24/CHN1929.DOCX", "https://docs.wto.org/imrd/directdoc.asp?DDFDocuments/v/G/TBTN24/CHN1929.DOCX")</f>
      </c>
    </row>
    <row r="1453">
      <c r="A1453" s="6" t="s">
        <v>68</v>
      </c>
      <c r="B1453" s="7">
        <v>45582</v>
      </c>
      <c r="C1453" s="9">
        <f>HYPERLINK("https://eping.wto.org/en/Search?viewData= G/TBT/N/UGA/1813/Add.1"," G/TBT/N/UGA/1813/Add.1")</f>
      </c>
      <c r="D1453" s="8" t="s">
        <v>4697</v>
      </c>
      <c r="E1453" s="8" t="s">
        <v>4698</v>
      </c>
      <c r="F1453" s="8" t="s">
        <v>4699</v>
      </c>
      <c r="G1453" s="8" t="s">
        <v>4700</v>
      </c>
      <c r="H1453" s="8" t="s">
        <v>4701</v>
      </c>
      <c r="I1453" s="8" t="s">
        <v>80</v>
      </c>
      <c r="J1453" s="8" t="s">
        <v>22</v>
      </c>
      <c r="K1453" s="6"/>
      <c r="L1453" s="7" t="s">
        <v>22</v>
      </c>
      <c r="M1453" s="6" t="s">
        <v>40</v>
      </c>
      <c r="N1453" s="8" t="s">
        <v>4084</v>
      </c>
      <c r="O1453" s="6">
        <f>HYPERLINK("https://docs.wto.org/imrd/directdoc.asp?DDFDocuments/t/G/TBTN23/UGA1813A1.DOCX", "https://docs.wto.org/imrd/directdoc.asp?DDFDocuments/t/G/TBTN23/UGA1813A1.DOCX")</f>
      </c>
      <c r="P1453" s="6">
        <f>HYPERLINK("https://docs.wto.org/imrd/directdoc.asp?DDFDocuments/u/G/TBTN23/UGA1813A1.DOCX", "https://docs.wto.org/imrd/directdoc.asp?DDFDocuments/u/G/TBTN23/UGA1813A1.DOCX")</f>
      </c>
      <c r="Q1453" s="6">
        <f>HYPERLINK("https://docs.wto.org/imrd/directdoc.asp?DDFDocuments/v/G/TBTN23/UGA1813A1.DOCX", "https://docs.wto.org/imrd/directdoc.asp?DDFDocuments/v/G/TBTN23/UGA1813A1.DOCX")</f>
      </c>
    </row>
    <row r="1454">
      <c r="A1454" s="6" t="s">
        <v>104</v>
      </c>
      <c r="B1454" s="7">
        <v>45582</v>
      </c>
      <c r="C1454" s="9">
        <f>HYPERLINK("https://eping.wto.org/en/Search?viewData= G/TBT/N/CHN/1919"," G/TBT/N/CHN/1919")</f>
      </c>
      <c r="D1454" s="8" t="s">
        <v>4702</v>
      </c>
      <c r="E1454" s="8" t="s">
        <v>4703</v>
      </c>
      <c r="F1454" s="8" t="s">
        <v>4704</v>
      </c>
      <c r="G1454" s="8" t="s">
        <v>4705</v>
      </c>
      <c r="H1454" s="8" t="s">
        <v>4643</v>
      </c>
      <c r="I1454" s="8" t="s">
        <v>39</v>
      </c>
      <c r="J1454" s="8" t="s">
        <v>22</v>
      </c>
      <c r="K1454" s="6"/>
      <c r="L1454" s="7">
        <v>45642</v>
      </c>
      <c r="M1454" s="6" t="s">
        <v>32</v>
      </c>
      <c r="N1454" s="8" t="s">
        <v>4706</v>
      </c>
      <c r="O1454" s="6">
        <f>HYPERLINK("https://docs.wto.org/imrd/directdoc.asp?DDFDocuments/t/G/TBTN24/CHN1919.DOCX", "https://docs.wto.org/imrd/directdoc.asp?DDFDocuments/t/G/TBTN24/CHN1919.DOCX")</f>
      </c>
      <c r="P1454" s="6">
        <f>HYPERLINK("https://docs.wto.org/imrd/directdoc.asp?DDFDocuments/u/G/TBTN24/CHN1919.DOCX", "https://docs.wto.org/imrd/directdoc.asp?DDFDocuments/u/G/TBTN24/CHN1919.DOCX")</f>
      </c>
      <c r="Q1454" s="6">
        <f>HYPERLINK("https://docs.wto.org/imrd/directdoc.asp?DDFDocuments/v/G/TBTN24/CHN1919.DOCX", "https://docs.wto.org/imrd/directdoc.asp?DDFDocuments/v/G/TBTN24/CHN1919.DOCX")</f>
      </c>
    </row>
    <row r="1455">
      <c r="A1455" s="6" t="s">
        <v>68</v>
      </c>
      <c r="B1455" s="7">
        <v>45582</v>
      </c>
      <c r="C1455" s="9">
        <f>HYPERLINK("https://eping.wto.org/en/Search?viewData= G/TBT/N/UGA/1730/Add.1"," G/TBT/N/UGA/1730/Add.1")</f>
      </c>
      <c r="D1455" s="8" t="s">
        <v>4707</v>
      </c>
      <c r="E1455" s="8" t="s">
        <v>4708</v>
      </c>
      <c r="F1455" s="8" t="s">
        <v>4709</v>
      </c>
      <c r="G1455" s="8" t="s">
        <v>4600</v>
      </c>
      <c r="H1455" s="8" t="s">
        <v>4710</v>
      </c>
      <c r="I1455" s="8" t="s">
        <v>4711</v>
      </c>
      <c r="J1455" s="8" t="s">
        <v>22</v>
      </c>
      <c r="K1455" s="6"/>
      <c r="L1455" s="7" t="s">
        <v>22</v>
      </c>
      <c r="M1455" s="6" t="s">
        <v>40</v>
      </c>
      <c r="N1455" s="8" t="s">
        <v>4084</v>
      </c>
      <c r="O1455" s="6">
        <f>HYPERLINK("https://docs.wto.org/imrd/directdoc.asp?DDFDocuments/t/G/TBTN23/UGA1730A1.DOCX", "https://docs.wto.org/imrd/directdoc.asp?DDFDocuments/t/G/TBTN23/UGA1730A1.DOCX")</f>
      </c>
      <c r="P1455" s="6">
        <f>HYPERLINK("https://docs.wto.org/imrd/directdoc.asp?DDFDocuments/u/G/TBTN23/UGA1730A1.DOCX", "https://docs.wto.org/imrd/directdoc.asp?DDFDocuments/u/G/TBTN23/UGA1730A1.DOCX")</f>
      </c>
      <c r="Q1455" s="6">
        <f>HYPERLINK("https://docs.wto.org/imrd/directdoc.asp?DDFDocuments/v/G/TBTN23/UGA1730A1.DOCX", "https://docs.wto.org/imrd/directdoc.asp?DDFDocuments/v/G/TBTN23/UGA1730A1.DOCX")</f>
      </c>
    </row>
    <row r="1456">
      <c r="A1456" s="6" t="s">
        <v>104</v>
      </c>
      <c r="B1456" s="7">
        <v>45582</v>
      </c>
      <c r="C1456" s="9">
        <f>HYPERLINK("https://eping.wto.org/en/Search?viewData= G/TBT/N/CHN/1915"," G/TBT/N/CHN/1915")</f>
      </c>
      <c r="D1456" s="8" t="s">
        <v>4712</v>
      </c>
      <c r="E1456" s="8" t="s">
        <v>4713</v>
      </c>
      <c r="F1456" s="8" t="s">
        <v>4714</v>
      </c>
      <c r="G1456" s="8" t="s">
        <v>569</v>
      </c>
      <c r="H1456" s="8" t="s">
        <v>2863</v>
      </c>
      <c r="I1456" s="8" t="s">
        <v>619</v>
      </c>
      <c r="J1456" s="8" t="s">
        <v>22</v>
      </c>
      <c r="K1456" s="6"/>
      <c r="L1456" s="7">
        <v>45642</v>
      </c>
      <c r="M1456" s="6" t="s">
        <v>32</v>
      </c>
      <c r="N1456" s="8" t="s">
        <v>4715</v>
      </c>
      <c r="O1456" s="6">
        <f>HYPERLINK("https://docs.wto.org/imrd/directdoc.asp?DDFDocuments/t/G/TBTN24/CHN1915.DOCX", "https://docs.wto.org/imrd/directdoc.asp?DDFDocuments/t/G/TBTN24/CHN1915.DOCX")</f>
      </c>
      <c r="P1456" s="6">
        <f>HYPERLINK("https://docs.wto.org/imrd/directdoc.asp?DDFDocuments/u/G/TBTN24/CHN1915.DOCX", "https://docs.wto.org/imrd/directdoc.asp?DDFDocuments/u/G/TBTN24/CHN1915.DOCX")</f>
      </c>
      <c r="Q1456" s="6">
        <f>HYPERLINK("https://docs.wto.org/imrd/directdoc.asp?DDFDocuments/v/G/TBTN24/CHN1915.DOCX", "https://docs.wto.org/imrd/directdoc.asp?DDFDocuments/v/G/TBTN24/CHN1915.DOCX")</f>
      </c>
    </row>
    <row r="1457">
      <c r="A1457" s="6" t="s">
        <v>104</v>
      </c>
      <c r="B1457" s="7">
        <v>45582</v>
      </c>
      <c r="C1457" s="9">
        <f>HYPERLINK("https://eping.wto.org/en/Search?viewData= G/TBT/N/CHN/1930"," G/TBT/N/CHN/1930")</f>
      </c>
      <c r="D1457" s="8" t="s">
        <v>4716</v>
      </c>
      <c r="E1457" s="8" t="s">
        <v>4717</v>
      </c>
      <c r="F1457" s="8" t="s">
        <v>4718</v>
      </c>
      <c r="G1457" s="8" t="s">
        <v>4719</v>
      </c>
      <c r="H1457" s="8" t="s">
        <v>2982</v>
      </c>
      <c r="I1457" s="8" t="s">
        <v>39</v>
      </c>
      <c r="J1457" s="8" t="s">
        <v>22</v>
      </c>
      <c r="K1457" s="6"/>
      <c r="L1457" s="7">
        <v>45642</v>
      </c>
      <c r="M1457" s="6" t="s">
        <v>32</v>
      </c>
      <c r="N1457" s="8" t="s">
        <v>4720</v>
      </c>
      <c r="O1457" s="6">
        <f>HYPERLINK("https://docs.wto.org/imrd/directdoc.asp?DDFDocuments/t/G/TBTN24/CHN1930.DOCX", "https://docs.wto.org/imrd/directdoc.asp?DDFDocuments/t/G/TBTN24/CHN1930.DOCX")</f>
      </c>
      <c r="P1457" s="6">
        <f>HYPERLINK("https://docs.wto.org/imrd/directdoc.asp?DDFDocuments/u/G/TBTN24/CHN1930.DOCX", "https://docs.wto.org/imrd/directdoc.asp?DDFDocuments/u/G/TBTN24/CHN1930.DOCX")</f>
      </c>
      <c r="Q1457" s="6">
        <f>HYPERLINK("https://docs.wto.org/imrd/directdoc.asp?DDFDocuments/v/G/TBTN24/CHN1930.DOCX", "https://docs.wto.org/imrd/directdoc.asp?DDFDocuments/v/G/TBTN24/CHN1930.DOCX")</f>
      </c>
    </row>
    <row r="1458">
      <c r="A1458" s="6" t="s">
        <v>68</v>
      </c>
      <c r="B1458" s="7">
        <v>45582</v>
      </c>
      <c r="C1458" s="9">
        <f>HYPERLINK("https://eping.wto.org/en/Search?viewData= G/TBT/N/UGA/1852/Add.1"," G/TBT/N/UGA/1852/Add.1")</f>
      </c>
      <c r="D1458" s="8" t="s">
        <v>4721</v>
      </c>
      <c r="E1458" s="8" t="s">
        <v>4722</v>
      </c>
      <c r="F1458" s="8" t="s">
        <v>4631</v>
      </c>
      <c r="G1458" s="8" t="s">
        <v>4632</v>
      </c>
      <c r="H1458" s="8" t="s">
        <v>4633</v>
      </c>
      <c r="I1458" s="8" t="s">
        <v>4634</v>
      </c>
      <c r="J1458" s="8" t="s">
        <v>22</v>
      </c>
      <c r="K1458" s="6"/>
      <c r="L1458" s="7" t="s">
        <v>22</v>
      </c>
      <c r="M1458" s="6" t="s">
        <v>40</v>
      </c>
      <c r="N1458" s="8" t="s">
        <v>4084</v>
      </c>
      <c r="O1458" s="6">
        <f>HYPERLINK("https://docs.wto.org/imrd/directdoc.asp?DDFDocuments/t/G/TBTN23/UGA1852A1.DOCX", "https://docs.wto.org/imrd/directdoc.asp?DDFDocuments/t/G/TBTN23/UGA1852A1.DOCX")</f>
      </c>
      <c r="P1458" s="6">
        <f>HYPERLINK("https://docs.wto.org/imrd/directdoc.asp?DDFDocuments/u/G/TBTN23/UGA1852A1.DOCX", "https://docs.wto.org/imrd/directdoc.asp?DDFDocuments/u/G/TBTN23/UGA1852A1.DOCX")</f>
      </c>
      <c r="Q1458" s="6">
        <f>HYPERLINK("https://docs.wto.org/imrd/directdoc.asp?DDFDocuments/v/G/TBTN23/UGA1852A1.DOCX", "https://docs.wto.org/imrd/directdoc.asp?DDFDocuments/v/G/TBTN23/UGA1852A1.DOCX")</f>
      </c>
    </row>
    <row r="1459">
      <c r="A1459" s="6" t="s">
        <v>68</v>
      </c>
      <c r="B1459" s="7">
        <v>45582</v>
      </c>
      <c r="C1459" s="9">
        <f>HYPERLINK("https://eping.wto.org/en/Search?viewData= G/TBT/N/UGA/1716/Add.1"," G/TBT/N/UGA/1716/Add.1")</f>
      </c>
      <c r="D1459" s="8" t="s">
        <v>4723</v>
      </c>
      <c r="E1459" s="8" t="s">
        <v>4724</v>
      </c>
      <c r="F1459" s="8" t="s">
        <v>3431</v>
      </c>
      <c r="G1459" s="8" t="s">
        <v>2112</v>
      </c>
      <c r="H1459" s="8" t="s">
        <v>2107</v>
      </c>
      <c r="I1459" s="8" t="s">
        <v>286</v>
      </c>
      <c r="J1459" s="8" t="s">
        <v>81</v>
      </c>
      <c r="K1459" s="6"/>
      <c r="L1459" s="7" t="s">
        <v>22</v>
      </c>
      <c r="M1459" s="6" t="s">
        <v>40</v>
      </c>
      <c r="N1459" s="8" t="s">
        <v>4084</v>
      </c>
      <c r="O1459" s="6">
        <f>HYPERLINK("https://docs.wto.org/imrd/directdoc.asp?DDFDocuments/t/G/TBTN22/UGA1716A1.DOCX", "https://docs.wto.org/imrd/directdoc.asp?DDFDocuments/t/G/TBTN22/UGA1716A1.DOCX")</f>
      </c>
      <c r="P1459" s="6">
        <f>HYPERLINK("https://docs.wto.org/imrd/directdoc.asp?DDFDocuments/u/G/TBTN22/UGA1716A1.DOCX", "https://docs.wto.org/imrd/directdoc.asp?DDFDocuments/u/G/TBTN22/UGA1716A1.DOCX")</f>
      </c>
      <c r="Q1459" s="6">
        <f>HYPERLINK("https://docs.wto.org/imrd/directdoc.asp?DDFDocuments/v/G/TBTN22/UGA1716A1.DOCX", "https://docs.wto.org/imrd/directdoc.asp?DDFDocuments/v/G/TBTN22/UGA1716A1.DOCX")</f>
      </c>
    </row>
    <row r="1460">
      <c r="A1460" s="6" t="s">
        <v>104</v>
      </c>
      <c r="B1460" s="7">
        <v>45582</v>
      </c>
      <c r="C1460" s="9">
        <f>HYPERLINK("https://eping.wto.org/en/Search?viewData= G/TBT/N/CHN/1916"," G/TBT/N/CHN/1916")</f>
      </c>
      <c r="D1460" s="8" t="s">
        <v>4725</v>
      </c>
      <c r="E1460" s="8" t="s">
        <v>4726</v>
      </c>
      <c r="F1460" s="8" t="s">
        <v>4727</v>
      </c>
      <c r="G1460" s="8" t="s">
        <v>4728</v>
      </c>
      <c r="H1460" s="8" t="s">
        <v>4729</v>
      </c>
      <c r="I1460" s="8" t="s">
        <v>39</v>
      </c>
      <c r="J1460" s="8" t="s">
        <v>22</v>
      </c>
      <c r="K1460" s="6"/>
      <c r="L1460" s="7">
        <v>45642</v>
      </c>
      <c r="M1460" s="6" t="s">
        <v>32</v>
      </c>
      <c r="N1460" s="8" t="s">
        <v>4730</v>
      </c>
      <c r="O1460" s="6">
        <f>HYPERLINK("https://docs.wto.org/imrd/directdoc.asp?DDFDocuments/t/G/TBTN24/CHN1916.DOCX", "https://docs.wto.org/imrd/directdoc.asp?DDFDocuments/t/G/TBTN24/CHN1916.DOCX")</f>
      </c>
      <c r="P1460" s="6">
        <f>HYPERLINK("https://docs.wto.org/imrd/directdoc.asp?DDFDocuments/u/G/TBTN24/CHN1916.DOCX", "https://docs.wto.org/imrd/directdoc.asp?DDFDocuments/u/G/TBTN24/CHN1916.DOCX")</f>
      </c>
      <c r="Q1460" s="6">
        <f>HYPERLINK("https://docs.wto.org/imrd/directdoc.asp?DDFDocuments/v/G/TBTN24/CHN1916.DOCX", "https://docs.wto.org/imrd/directdoc.asp?DDFDocuments/v/G/TBTN24/CHN1916.DOCX")</f>
      </c>
    </row>
    <row r="1461">
      <c r="A1461" s="6" t="s">
        <v>400</v>
      </c>
      <c r="B1461" s="7">
        <v>45582</v>
      </c>
      <c r="C1461" s="9">
        <f>HYPERLINK("https://eping.wto.org/en/Search?viewData= G/TBT/N/USA/2088/Add.4"," G/TBT/N/USA/2088/Add.4")</f>
      </c>
      <c r="D1461" s="8" t="s">
        <v>1695</v>
      </c>
      <c r="E1461" s="8" t="s">
        <v>4731</v>
      </c>
      <c r="F1461" s="8" t="s">
        <v>1697</v>
      </c>
      <c r="G1461" s="8" t="s">
        <v>22</v>
      </c>
      <c r="H1461" s="8" t="s">
        <v>1698</v>
      </c>
      <c r="I1461" s="8" t="s">
        <v>405</v>
      </c>
      <c r="J1461" s="8" t="s">
        <v>22</v>
      </c>
      <c r="K1461" s="6"/>
      <c r="L1461" s="7">
        <v>45594</v>
      </c>
      <c r="M1461" s="6" t="s">
        <v>40</v>
      </c>
      <c r="N1461" s="8" t="s">
        <v>4732</v>
      </c>
      <c r="O1461" s="6">
        <f>HYPERLINK("https://docs.wto.org/imrd/directdoc.asp?DDFDocuments/t/G/TBTN24/USA2088A4.DOCX", "https://docs.wto.org/imrd/directdoc.asp?DDFDocuments/t/G/TBTN24/USA2088A4.DOCX")</f>
      </c>
      <c r="P1461" s="6">
        <f>HYPERLINK("https://docs.wto.org/imrd/directdoc.asp?DDFDocuments/u/G/TBTN24/USA2088A4.DOCX", "https://docs.wto.org/imrd/directdoc.asp?DDFDocuments/u/G/TBTN24/USA2088A4.DOCX")</f>
      </c>
      <c r="Q1461" s="6">
        <f>HYPERLINK("https://docs.wto.org/imrd/directdoc.asp?DDFDocuments/v/G/TBTN24/USA2088A4.DOCX", "https://docs.wto.org/imrd/directdoc.asp?DDFDocuments/v/G/TBTN24/USA2088A4.DOCX")</f>
      </c>
    </row>
    <row r="1462">
      <c r="A1462" s="6" t="s">
        <v>104</v>
      </c>
      <c r="B1462" s="7">
        <v>45582</v>
      </c>
      <c r="C1462" s="9">
        <f>HYPERLINK("https://eping.wto.org/en/Search?viewData= G/TBT/N/CHN/1923"," G/TBT/N/CHN/1923")</f>
      </c>
      <c r="D1462" s="8" t="s">
        <v>4733</v>
      </c>
      <c r="E1462" s="8" t="s">
        <v>4734</v>
      </c>
      <c r="F1462" s="8" t="s">
        <v>4735</v>
      </c>
      <c r="G1462" s="8" t="s">
        <v>3107</v>
      </c>
      <c r="H1462" s="8" t="s">
        <v>4611</v>
      </c>
      <c r="I1462" s="8" t="s">
        <v>2475</v>
      </c>
      <c r="J1462" s="8" t="s">
        <v>22</v>
      </c>
      <c r="K1462" s="6"/>
      <c r="L1462" s="7">
        <v>45642</v>
      </c>
      <c r="M1462" s="6" t="s">
        <v>32</v>
      </c>
      <c r="N1462" s="8" t="s">
        <v>4736</v>
      </c>
      <c r="O1462" s="6">
        <f>HYPERLINK("https://docs.wto.org/imrd/directdoc.asp?DDFDocuments/t/G/TBTN24/CHN1923.DOCX", "https://docs.wto.org/imrd/directdoc.asp?DDFDocuments/t/G/TBTN24/CHN1923.DOCX")</f>
      </c>
      <c r="P1462" s="6">
        <f>HYPERLINK("https://docs.wto.org/imrd/directdoc.asp?DDFDocuments/u/G/TBTN24/CHN1923.DOCX", "https://docs.wto.org/imrd/directdoc.asp?DDFDocuments/u/G/TBTN24/CHN1923.DOCX")</f>
      </c>
      <c r="Q1462" s="6">
        <f>HYPERLINK("https://docs.wto.org/imrd/directdoc.asp?DDFDocuments/v/G/TBTN24/CHN1923.DOCX", "https://docs.wto.org/imrd/directdoc.asp?DDFDocuments/v/G/TBTN24/CHN1923.DOCX")</f>
      </c>
    </row>
    <row r="1463">
      <c r="A1463" s="6" t="s">
        <v>68</v>
      </c>
      <c r="B1463" s="7">
        <v>45582</v>
      </c>
      <c r="C1463" s="9">
        <f>HYPERLINK("https://eping.wto.org/en/Search?viewData= G/TBT/N/UGA/1822/Add.1"," G/TBT/N/UGA/1822/Add.1")</f>
      </c>
      <c r="D1463" s="8" t="s">
        <v>4737</v>
      </c>
      <c r="E1463" s="8" t="s">
        <v>4738</v>
      </c>
      <c r="F1463" s="8" t="s">
        <v>4739</v>
      </c>
      <c r="G1463" s="8" t="s">
        <v>4600</v>
      </c>
      <c r="H1463" s="8" t="s">
        <v>4591</v>
      </c>
      <c r="I1463" s="8" t="s">
        <v>272</v>
      </c>
      <c r="J1463" s="8" t="s">
        <v>22</v>
      </c>
      <c r="K1463" s="6"/>
      <c r="L1463" s="7" t="s">
        <v>22</v>
      </c>
      <c r="M1463" s="6" t="s">
        <v>40</v>
      </c>
      <c r="N1463" s="8" t="s">
        <v>4084</v>
      </c>
      <c r="O1463" s="6">
        <f>HYPERLINK("https://docs.wto.org/imrd/directdoc.asp?DDFDocuments/t/G/TBTN23/UGA1822A1.DOCX", "https://docs.wto.org/imrd/directdoc.asp?DDFDocuments/t/G/TBTN23/UGA1822A1.DOCX")</f>
      </c>
      <c r="P1463" s="6">
        <f>HYPERLINK("https://docs.wto.org/imrd/directdoc.asp?DDFDocuments/u/G/TBTN23/UGA1822A1.DOCX", "https://docs.wto.org/imrd/directdoc.asp?DDFDocuments/u/G/TBTN23/UGA1822A1.DOCX")</f>
      </c>
      <c r="Q1463" s="6">
        <f>HYPERLINK("https://docs.wto.org/imrd/directdoc.asp?DDFDocuments/v/G/TBTN23/UGA1822A1.DOCX", "https://docs.wto.org/imrd/directdoc.asp?DDFDocuments/v/G/TBTN23/UGA1822A1.DOCX")</f>
      </c>
    </row>
    <row r="1464">
      <c r="A1464" s="6" t="s">
        <v>1890</v>
      </c>
      <c r="B1464" s="7">
        <v>45582</v>
      </c>
      <c r="C1464" s="9">
        <f>HYPERLINK("https://eping.wto.org/en/Search?viewData= G/SPS/N/RUS/297"," G/SPS/N/RUS/297")</f>
      </c>
      <c r="D1464" s="8" t="s">
        <v>4740</v>
      </c>
      <c r="E1464" s="8" t="s">
        <v>4741</v>
      </c>
      <c r="F1464" s="8" t="s">
        <v>4742</v>
      </c>
      <c r="G1464" s="8" t="s">
        <v>4743</v>
      </c>
      <c r="H1464" s="8" t="s">
        <v>22</v>
      </c>
      <c r="I1464" s="8" t="s">
        <v>348</v>
      </c>
      <c r="J1464" s="8" t="s">
        <v>1350</v>
      </c>
      <c r="K1464" s="6" t="s">
        <v>1121</v>
      </c>
      <c r="L1464" s="7" t="s">
        <v>22</v>
      </c>
      <c r="M1464" s="6" t="s">
        <v>331</v>
      </c>
      <c r="N1464" s="8" t="s">
        <v>4744</v>
      </c>
      <c r="O1464" s="6">
        <f>HYPERLINK("https://docs.wto.org/imrd/directdoc.asp?DDFDocuments/t/G/SPS/NRUS297.DOCX", "https://docs.wto.org/imrd/directdoc.asp?DDFDocuments/t/G/SPS/NRUS297.DOCX")</f>
      </c>
      <c r="P1464" s="6">
        <f>HYPERLINK("https://docs.wto.org/imrd/directdoc.asp?DDFDocuments/u/G/SPS/NRUS297.DOCX", "https://docs.wto.org/imrd/directdoc.asp?DDFDocuments/u/G/SPS/NRUS297.DOCX")</f>
      </c>
      <c r="Q1464" s="6">
        <f>HYPERLINK("https://docs.wto.org/imrd/directdoc.asp?DDFDocuments/v/G/SPS/NRUS297.DOCX", "https://docs.wto.org/imrd/directdoc.asp?DDFDocuments/v/G/SPS/NRUS297.DOCX")</f>
      </c>
    </row>
    <row r="1465">
      <c r="A1465" s="6" t="s">
        <v>17</v>
      </c>
      <c r="B1465" s="7">
        <v>45582</v>
      </c>
      <c r="C1465" s="9">
        <f>HYPERLINK("https://eping.wto.org/en/Search?viewData= G/TBT/N/KOR/1234"," G/TBT/N/KOR/1234")</f>
      </c>
      <c r="D1465" s="8" t="s">
        <v>4745</v>
      </c>
      <c r="E1465" s="8" t="s">
        <v>4746</v>
      </c>
      <c r="F1465" s="8" t="s">
        <v>4747</v>
      </c>
      <c r="G1465" s="8" t="s">
        <v>22</v>
      </c>
      <c r="H1465" s="8" t="s">
        <v>4748</v>
      </c>
      <c r="I1465" s="8" t="s">
        <v>138</v>
      </c>
      <c r="J1465" s="8" t="s">
        <v>22</v>
      </c>
      <c r="K1465" s="6"/>
      <c r="L1465" s="7">
        <v>45642</v>
      </c>
      <c r="M1465" s="6" t="s">
        <v>32</v>
      </c>
      <c r="N1465" s="8" t="s">
        <v>4749</v>
      </c>
      <c r="O1465" s="6">
        <f>HYPERLINK("https://docs.wto.org/imrd/directdoc.asp?DDFDocuments/t/G/TBTN24/KOR1234.DOCX", "https://docs.wto.org/imrd/directdoc.asp?DDFDocuments/t/G/TBTN24/KOR1234.DOCX")</f>
      </c>
      <c r="P1465" s="6">
        <f>HYPERLINK("https://docs.wto.org/imrd/directdoc.asp?DDFDocuments/u/G/TBTN24/KOR1234.DOCX", "https://docs.wto.org/imrd/directdoc.asp?DDFDocuments/u/G/TBTN24/KOR1234.DOCX")</f>
      </c>
      <c r="Q1465" s="6">
        <f>HYPERLINK("https://docs.wto.org/imrd/directdoc.asp?DDFDocuments/v/G/TBTN24/KOR1234.DOCX", "https://docs.wto.org/imrd/directdoc.asp?DDFDocuments/v/G/TBTN24/KOR1234.DOCX")</f>
      </c>
    </row>
    <row r="1466">
      <c r="A1466" s="6" t="s">
        <v>360</v>
      </c>
      <c r="B1466" s="7">
        <v>45582</v>
      </c>
      <c r="C1466" s="9">
        <f>HYPERLINK("https://eping.wto.org/en/Search?viewData= G/SPS/N/CHL/792/Add.1"," G/SPS/N/CHL/792/Add.1")</f>
      </c>
      <c r="D1466" s="8" t="s">
        <v>4750</v>
      </c>
      <c r="E1466" s="8" t="s">
        <v>4750</v>
      </c>
      <c r="F1466" s="8" t="s">
        <v>4751</v>
      </c>
      <c r="G1466" s="8" t="s">
        <v>22</v>
      </c>
      <c r="H1466" s="8" t="s">
        <v>22</v>
      </c>
      <c r="I1466" s="8" t="s">
        <v>348</v>
      </c>
      <c r="J1466" s="8" t="s">
        <v>4752</v>
      </c>
      <c r="K1466" s="6"/>
      <c r="L1466" s="7" t="s">
        <v>22</v>
      </c>
      <c r="M1466" s="6" t="s">
        <v>40</v>
      </c>
      <c r="N1466" s="8" t="s">
        <v>4753</v>
      </c>
      <c r="O1466" s="6">
        <f>HYPERLINK("https://docs.wto.org/imrd/directdoc.asp?DDFDocuments/t/G/SPS/NCHL792A1.DOCX", "https://docs.wto.org/imrd/directdoc.asp?DDFDocuments/t/G/SPS/NCHL792A1.DOCX")</f>
      </c>
      <c r="P1466" s="6">
        <f>HYPERLINK("https://docs.wto.org/imrd/directdoc.asp?DDFDocuments/u/G/SPS/NCHL792A1.DOCX", "https://docs.wto.org/imrd/directdoc.asp?DDFDocuments/u/G/SPS/NCHL792A1.DOCX")</f>
      </c>
      <c r="Q1466" s="6">
        <f>HYPERLINK("https://docs.wto.org/imrd/directdoc.asp?DDFDocuments/v/G/SPS/NCHL792A1.DOCX", "https://docs.wto.org/imrd/directdoc.asp?DDFDocuments/v/G/SPS/NCHL792A1.DOCX")</f>
      </c>
    </row>
    <row r="1467">
      <c r="A1467" s="6" t="s">
        <v>418</v>
      </c>
      <c r="B1467" s="7">
        <v>45582</v>
      </c>
      <c r="C1467" s="9">
        <f>HYPERLINK("https://eping.wto.org/en/Search?viewData= G/SPS/N/EU/698/Add.1"," G/SPS/N/EU/698/Add.1")</f>
      </c>
      <c r="D1467" s="8" t="s">
        <v>4754</v>
      </c>
      <c r="E1467" s="8" t="s">
        <v>4755</v>
      </c>
      <c r="F1467" s="8" t="s">
        <v>1643</v>
      </c>
      <c r="G1467" s="8" t="s">
        <v>4756</v>
      </c>
      <c r="H1467" s="8" t="s">
        <v>22</v>
      </c>
      <c r="I1467" s="8" t="s">
        <v>120</v>
      </c>
      <c r="J1467" s="8" t="s">
        <v>1560</v>
      </c>
      <c r="K1467" s="6"/>
      <c r="L1467" s="7" t="s">
        <v>22</v>
      </c>
      <c r="M1467" s="6" t="s">
        <v>40</v>
      </c>
      <c r="N1467" s="8" t="s">
        <v>4757</v>
      </c>
      <c r="O1467" s="6">
        <f>HYPERLINK("https://docs.wto.org/imrd/directdoc.asp?DDFDocuments/t/G/SPS/NEU698A1.DOCX", "https://docs.wto.org/imrd/directdoc.asp?DDFDocuments/t/G/SPS/NEU698A1.DOCX")</f>
      </c>
      <c r="P1467" s="6">
        <f>HYPERLINK("https://docs.wto.org/imrd/directdoc.asp?DDFDocuments/u/G/SPS/NEU698A1.DOCX", "https://docs.wto.org/imrd/directdoc.asp?DDFDocuments/u/G/SPS/NEU698A1.DOCX")</f>
      </c>
      <c r="Q1467" s="6">
        <f>HYPERLINK("https://docs.wto.org/imrd/directdoc.asp?DDFDocuments/v/G/SPS/NEU698A1.DOCX", "https://docs.wto.org/imrd/directdoc.asp?DDFDocuments/v/G/SPS/NEU698A1.DOCX")</f>
      </c>
    </row>
    <row r="1468">
      <c r="A1468" s="6" t="s">
        <v>360</v>
      </c>
      <c r="B1468" s="7">
        <v>45581</v>
      </c>
      <c r="C1468" s="9">
        <f>HYPERLINK("https://eping.wto.org/en/Search?viewData= G/TBT/N/CHL/706"," G/TBT/N/CHL/706")</f>
      </c>
      <c r="D1468" s="8" t="s">
        <v>4758</v>
      </c>
      <c r="E1468" s="8" t="s">
        <v>4759</v>
      </c>
      <c r="F1468" s="8" t="s">
        <v>1514</v>
      </c>
      <c r="G1468" s="8" t="s">
        <v>22</v>
      </c>
      <c r="H1468" s="8" t="s">
        <v>595</v>
      </c>
      <c r="I1468" s="8" t="s">
        <v>292</v>
      </c>
      <c r="J1468" s="8" t="s">
        <v>22</v>
      </c>
      <c r="K1468" s="6"/>
      <c r="L1468" s="7">
        <v>45641</v>
      </c>
      <c r="M1468" s="6" t="s">
        <v>32</v>
      </c>
      <c r="N1468" s="8" t="s">
        <v>4760</v>
      </c>
      <c r="O1468" s="6">
        <f>HYPERLINK("https://docs.wto.org/imrd/directdoc.asp?DDFDocuments/t/G/TBTN24/CHL706.DOCX", "https://docs.wto.org/imrd/directdoc.asp?DDFDocuments/t/G/TBTN24/CHL706.DOCX")</f>
      </c>
      <c r="P1468" s="6">
        <f>HYPERLINK("https://docs.wto.org/imrd/directdoc.asp?DDFDocuments/u/G/TBTN24/CHL706.DOCX", "https://docs.wto.org/imrd/directdoc.asp?DDFDocuments/u/G/TBTN24/CHL706.DOCX")</f>
      </c>
      <c r="Q1468" s="6">
        <f>HYPERLINK("https://docs.wto.org/imrd/directdoc.asp?DDFDocuments/v/G/TBTN24/CHL706.DOCX", "https://docs.wto.org/imrd/directdoc.asp?DDFDocuments/v/G/TBTN24/CHL706.DOCX")</f>
      </c>
    </row>
    <row r="1469">
      <c r="A1469" s="6" t="s">
        <v>418</v>
      </c>
      <c r="B1469" s="7">
        <v>45581</v>
      </c>
      <c r="C1469" s="9">
        <f>HYPERLINK("https://eping.wto.org/en/Search?viewData= G/SPS/N/EU/773/Add.1"," G/SPS/N/EU/773/Add.1")</f>
      </c>
      <c r="D1469" s="8" t="s">
        <v>4761</v>
      </c>
      <c r="E1469" s="8" t="s">
        <v>4762</v>
      </c>
      <c r="F1469" s="8" t="s">
        <v>119</v>
      </c>
      <c r="G1469" s="8" t="s">
        <v>22</v>
      </c>
      <c r="H1469" s="8" t="s">
        <v>22</v>
      </c>
      <c r="I1469" s="8" t="s">
        <v>120</v>
      </c>
      <c r="J1469" s="8" t="s">
        <v>214</v>
      </c>
      <c r="K1469" s="6"/>
      <c r="L1469" s="7" t="s">
        <v>22</v>
      </c>
      <c r="M1469" s="6" t="s">
        <v>40</v>
      </c>
      <c r="N1469" s="8" t="s">
        <v>4763</v>
      </c>
      <c r="O1469" s="6">
        <f>HYPERLINK("https://docs.wto.org/imrd/directdoc.asp?DDFDocuments/t/G/SPS/NEU773A1.DOCX", "https://docs.wto.org/imrd/directdoc.asp?DDFDocuments/t/G/SPS/NEU773A1.DOCX")</f>
      </c>
      <c r="P1469" s="6">
        <f>HYPERLINK("https://docs.wto.org/imrd/directdoc.asp?DDFDocuments/u/G/SPS/NEU773A1.DOCX", "https://docs.wto.org/imrd/directdoc.asp?DDFDocuments/u/G/SPS/NEU773A1.DOCX")</f>
      </c>
      <c r="Q1469" s="6">
        <f>HYPERLINK("https://docs.wto.org/imrd/directdoc.asp?DDFDocuments/v/G/SPS/NEU773A1.DOCX", "https://docs.wto.org/imrd/directdoc.asp?DDFDocuments/v/G/SPS/NEU773A1.DOCX")</f>
      </c>
    </row>
    <row r="1470">
      <c r="A1470" s="6" t="s">
        <v>4764</v>
      </c>
      <c r="B1470" s="7">
        <v>45581</v>
      </c>
      <c r="C1470" s="9">
        <f>HYPERLINK("https://eping.wto.org/en/Search?viewData= G/TBT/N/CZE/254/Add.1"," G/TBT/N/CZE/254/Add.1")</f>
      </c>
      <c r="D1470" s="8" t="s">
        <v>4765</v>
      </c>
      <c r="E1470" s="8" t="s">
        <v>4766</v>
      </c>
      <c r="F1470" s="8" t="s">
        <v>4767</v>
      </c>
      <c r="G1470" s="8" t="s">
        <v>22</v>
      </c>
      <c r="H1470" s="8" t="s">
        <v>4768</v>
      </c>
      <c r="I1470" s="8" t="s">
        <v>1819</v>
      </c>
      <c r="J1470" s="8" t="s">
        <v>157</v>
      </c>
      <c r="K1470" s="6"/>
      <c r="L1470" s="7" t="s">
        <v>22</v>
      </c>
      <c r="M1470" s="6" t="s">
        <v>40</v>
      </c>
      <c r="N1470" s="8" t="s">
        <v>4769</v>
      </c>
      <c r="O1470" s="6">
        <f>HYPERLINK("https://docs.wto.org/imrd/directdoc.asp?DDFDocuments/t/G/TBTN24/CZE254A1.DOCX", "https://docs.wto.org/imrd/directdoc.asp?DDFDocuments/t/G/TBTN24/CZE254A1.DOCX")</f>
      </c>
      <c r="P1470" s="6">
        <f>HYPERLINK("https://docs.wto.org/imrd/directdoc.asp?DDFDocuments/u/G/TBTN24/CZE254A1.DOCX", "https://docs.wto.org/imrd/directdoc.asp?DDFDocuments/u/G/TBTN24/CZE254A1.DOCX")</f>
      </c>
      <c r="Q1470" s="6">
        <f>HYPERLINK("https://docs.wto.org/imrd/directdoc.asp?DDFDocuments/v/G/TBTN24/CZE254A1.DOCX", "https://docs.wto.org/imrd/directdoc.asp?DDFDocuments/v/G/TBTN24/CZE254A1.DOCX")</f>
      </c>
    </row>
    <row r="1471">
      <c r="A1471" s="6" t="s">
        <v>4770</v>
      </c>
      <c r="B1471" s="7">
        <v>45581</v>
      </c>
      <c r="C1471" s="9">
        <f>HYPERLINK("https://eping.wto.org/en/Search?viewData= G/TBT/N/BEL/50"," G/TBT/N/BEL/50")</f>
      </c>
      <c r="D1471" s="8" t="s">
        <v>4771</v>
      </c>
      <c r="E1471" s="8" t="s">
        <v>4772</v>
      </c>
      <c r="F1471" s="8" t="s">
        <v>4773</v>
      </c>
      <c r="G1471" s="8" t="s">
        <v>2130</v>
      </c>
      <c r="H1471" s="8" t="s">
        <v>1630</v>
      </c>
      <c r="I1471" s="8" t="s">
        <v>39</v>
      </c>
      <c r="J1471" s="8" t="s">
        <v>139</v>
      </c>
      <c r="K1471" s="6"/>
      <c r="L1471" s="7">
        <v>45641</v>
      </c>
      <c r="M1471" s="6" t="s">
        <v>32</v>
      </c>
      <c r="N1471" s="8" t="s">
        <v>4774</v>
      </c>
      <c r="O1471" s="6">
        <f>HYPERLINK("https://docs.wto.org/imrd/directdoc.asp?DDFDocuments/t/G/TBTN24/BEL50.DOCX", "https://docs.wto.org/imrd/directdoc.asp?DDFDocuments/t/G/TBTN24/BEL50.DOCX")</f>
      </c>
      <c r="P1471" s="6">
        <f>HYPERLINK("https://docs.wto.org/imrd/directdoc.asp?DDFDocuments/u/G/TBTN24/BEL50.DOCX", "https://docs.wto.org/imrd/directdoc.asp?DDFDocuments/u/G/TBTN24/BEL50.DOCX")</f>
      </c>
      <c r="Q1471" s="6">
        <f>HYPERLINK("https://docs.wto.org/imrd/directdoc.asp?DDFDocuments/v/G/TBTN24/BEL50.DOCX", "https://docs.wto.org/imrd/directdoc.asp?DDFDocuments/v/G/TBTN24/BEL50.DOCX")</f>
      </c>
    </row>
    <row r="1472">
      <c r="A1472" s="6" t="s">
        <v>418</v>
      </c>
      <c r="B1472" s="7">
        <v>45581</v>
      </c>
      <c r="C1472" s="9">
        <f>HYPERLINK("https://eping.wto.org/en/Search?viewData= G/SPS/N/EU/701/Add.1"," G/SPS/N/EU/701/Add.1")</f>
      </c>
      <c r="D1472" s="8" t="s">
        <v>4775</v>
      </c>
      <c r="E1472" s="8" t="s">
        <v>4776</v>
      </c>
      <c r="F1472" s="8" t="s">
        <v>3634</v>
      </c>
      <c r="G1472" s="8" t="s">
        <v>1620</v>
      </c>
      <c r="H1472" s="8" t="s">
        <v>22</v>
      </c>
      <c r="I1472" s="8" t="s">
        <v>120</v>
      </c>
      <c r="J1472" s="8" t="s">
        <v>4777</v>
      </c>
      <c r="K1472" s="6"/>
      <c r="L1472" s="7" t="s">
        <v>22</v>
      </c>
      <c r="M1472" s="6" t="s">
        <v>40</v>
      </c>
      <c r="N1472" s="8" t="s">
        <v>4778</v>
      </c>
      <c r="O1472" s="6">
        <f>HYPERLINK("https://docs.wto.org/imrd/directdoc.asp?DDFDocuments/t/G/SPS/NEU701A1.DOCX", "https://docs.wto.org/imrd/directdoc.asp?DDFDocuments/t/G/SPS/NEU701A1.DOCX")</f>
      </c>
      <c r="P1472" s="6">
        <f>HYPERLINK("https://docs.wto.org/imrd/directdoc.asp?DDFDocuments/u/G/SPS/NEU701A1.DOCX", "https://docs.wto.org/imrd/directdoc.asp?DDFDocuments/u/G/SPS/NEU701A1.DOCX")</f>
      </c>
      <c r="Q1472" s="6">
        <f>HYPERLINK("https://docs.wto.org/imrd/directdoc.asp?DDFDocuments/v/G/SPS/NEU701A1.DOCX", "https://docs.wto.org/imrd/directdoc.asp?DDFDocuments/v/G/SPS/NEU701A1.DOCX")</f>
      </c>
    </row>
    <row r="1473">
      <c r="A1473" s="6" t="s">
        <v>82</v>
      </c>
      <c r="B1473" s="7">
        <v>45581</v>
      </c>
      <c r="C1473" s="9">
        <f>HYPERLINK("https://eping.wto.org/en/Search?viewData= G/SPS/N/BRA/2349"," G/SPS/N/BRA/2349")</f>
      </c>
      <c r="D1473" s="8" t="s">
        <v>4779</v>
      </c>
      <c r="E1473" s="8" t="s">
        <v>4780</v>
      </c>
      <c r="F1473" s="8" t="s">
        <v>212</v>
      </c>
      <c r="G1473" s="8" t="s">
        <v>22</v>
      </c>
      <c r="H1473" s="8" t="s">
        <v>1314</v>
      </c>
      <c r="I1473" s="8" t="s">
        <v>120</v>
      </c>
      <c r="J1473" s="8" t="s">
        <v>121</v>
      </c>
      <c r="K1473" s="6"/>
      <c r="L1473" s="7">
        <v>45643</v>
      </c>
      <c r="M1473" s="6" t="s">
        <v>32</v>
      </c>
      <c r="N1473" s="8" t="s">
        <v>4781</v>
      </c>
      <c r="O1473" s="6">
        <f>HYPERLINK("https://docs.wto.org/imrd/directdoc.asp?DDFDocuments/t/G/SPS/NBRA2349.DOCX", "https://docs.wto.org/imrd/directdoc.asp?DDFDocuments/t/G/SPS/NBRA2349.DOCX")</f>
      </c>
      <c r="P1473" s="6">
        <f>HYPERLINK("https://docs.wto.org/imrd/directdoc.asp?DDFDocuments/u/G/SPS/NBRA2349.DOCX", "https://docs.wto.org/imrd/directdoc.asp?DDFDocuments/u/G/SPS/NBRA2349.DOCX")</f>
      </c>
      <c r="Q1473" s="6">
        <f>HYPERLINK("https://docs.wto.org/imrd/directdoc.asp?DDFDocuments/v/G/SPS/NBRA2349.DOCX", "https://docs.wto.org/imrd/directdoc.asp?DDFDocuments/v/G/SPS/NBRA2349.DOCX")</f>
      </c>
    </row>
    <row r="1474">
      <c r="A1474" s="6" t="s">
        <v>4770</v>
      </c>
      <c r="B1474" s="7">
        <v>45581</v>
      </c>
      <c r="C1474" s="9">
        <f>HYPERLINK("https://eping.wto.org/en/Search?viewData= G/TBT/N/BEL/49"," G/TBT/N/BEL/49")</f>
      </c>
      <c r="D1474" s="8" t="s">
        <v>4782</v>
      </c>
      <c r="E1474" s="8" t="s">
        <v>4783</v>
      </c>
      <c r="F1474" s="8" t="s">
        <v>4773</v>
      </c>
      <c r="G1474" s="8" t="s">
        <v>2130</v>
      </c>
      <c r="H1474" s="8" t="s">
        <v>1630</v>
      </c>
      <c r="I1474" s="8" t="s">
        <v>39</v>
      </c>
      <c r="J1474" s="8" t="s">
        <v>139</v>
      </c>
      <c r="K1474" s="6"/>
      <c r="L1474" s="7">
        <v>45641</v>
      </c>
      <c r="M1474" s="6" t="s">
        <v>32</v>
      </c>
      <c r="N1474" s="8" t="s">
        <v>4784</v>
      </c>
      <c r="O1474" s="6">
        <f>HYPERLINK("https://docs.wto.org/imrd/directdoc.asp?DDFDocuments/t/G/TBTN24/BEL49.DOCX", "https://docs.wto.org/imrd/directdoc.asp?DDFDocuments/t/G/TBTN24/BEL49.DOCX")</f>
      </c>
      <c r="P1474" s="6">
        <f>HYPERLINK("https://docs.wto.org/imrd/directdoc.asp?DDFDocuments/u/G/TBTN24/BEL49.DOCX", "https://docs.wto.org/imrd/directdoc.asp?DDFDocuments/u/G/TBTN24/BEL49.DOCX")</f>
      </c>
      <c r="Q1474" s="6">
        <f>HYPERLINK("https://docs.wto.org/imrd/directdoc.asp?DDFDocuments/v/G/TBTN24/BEL49.DOCX", "https://docs.wto.org/imrd/directdoc.asp?DDFDocuments/v/G/TBTN24/BEL49.DOCX")</f>
      </c>
    </row>
    <row r="1475">
      <c r="A1475" s="6" t="s">
        <v>472</v>
      </c>
      <c r="B1475" s="7">
        <v>45581</v>
      </c>
      <c r="C1475" s="9">
        <f>HYPERLINK("https://eping.wto.org/en/Search?viewData= G/TBT/N/JPN/839"," G/TBT/N/JPN/839")</f>
      </c>
      <c r="D1475" s="8" t="s">
        <v>4785</v>
      </c>
      <c r="E1475" s="8" t="s">
        <v>4786</v>
      </c>
      <c r="F1475" s="8" t="s">
        <v>4787</v>
      </c>
      <c r="G1475" s="8" t="s">
        <v>721</v>
      </c>
      <c r="H1475" s="8" t="s">
        <v>1169</v>
      </c>
      <c r="I1475" s="8" t="s">
        <v>138</v>
      </c>
      <c r="J1475" s="8" t="s">
        <v>139</v>
      </c>
      <c r="K1475" s="6"/>
      <c r="L1475" s="7">
        <v>45611</v>
      </c>
      <c r="M1475" s="6" t="s">
        <v>32</v>
      </c>
      <c r="N1475" s="8" t="s">
        <v>4788</v>
      </c>
      <c r="O1475" s="6">
        <f>HYPERLINK("https://docs.wto.org/imrd/directdoc.asp?DDFDocuments/t/G/TBTN24/JPN839.DOCX", "https://docs.wto.org/imrd/directdoc.asp?DDFDocuments/t/G/TBTN24/JPN839.DOCX")</f>
      </c>
      <c r="P1475" s="6">
        <f>HYPERLINK("https://docs.wto.org/imrd/directdoc.asp?DDFDocuments/u/G/TBTN24/JPN839.DOCX", "https://docs.wto.org/imrd/directdoc.asp?DDFDocuments/u/G/TBTN24/JPN839.DOCX")</f>
      </c>
      <c r="Q1475" s="6">
        <f>HYPERLINK("https://docs.wto.org/imrd/directdoc.asp?DDFDocuments/v/G/TBTN24/JPN839.DOCX", "https://docs.wto.org/imrd/directdoc.asp?DDFDocuments/v/G/TBTN24/JPN839.DOCX")</f>
      </c>
    </row>
    <row r="1476">
      <c r="A1476" s="6" t="s">
        <v>343</v>
      </c>
      <c r="B1476" s="7">
        <v>45580</v>
      </c>
      <c r="C1476" s="9">
        <f>HYPERLINK("https://eping.wto.org/en/Search?viewData= G/TBT/N/THA/679/Add.1/Corr.1"," G/TBT/N/THA/679/Add.1/Corr.1")</f>
      </c>
      <c r="D1476" s="8" t="s">
        <v>4789</v>
      </c>
      <c r="E1476" s="8" t="s">
        <v>4790</v>
      </c>
      <c r="F1476" s="8" t="s">
        <v>4791</v>
      </c>
      <c r="G1476" s="8" t="s">
        <v>22</v>
      </c>
      <c r="H1476" s="8" t="s">
        <v>4792</v>
      </c>
      <c r="I1476" s="8" t="s">
        <v>701</v>
      </c>
      <c r="J1476" s="8" t="s">
        <v>2206</v>
      </c>
      <c r="K1476" s="6"/>
      <c r="L1476" s="7" t="s">
        <v>22</v>
      </c>
      <c r="M1476" s="6" t="s">
        <v>248</v>
      </c>
      <c r="N1476" s="8" t="s">
        <v>4793</v>
      </c>
      <c r="O1476" s="6">
        <f>HYPERLINK("https://docs.wto.org/imrd/directdoc.asp?DDFDocuments/t/G/TBTN22/THA679A1C1.DOCX", "https://docs.wto.org/imrd/directdoc.asp?DDFDocuments/t/G/TBTN22/THA679A1C1.DOCX")</f>
      </c>
      <c r="P1476" s="6">
        <f>HYPERLINK("https://docs.wto.org/imrd/directdoc.asp?DDFDocuments/u/G/TBTN22/THA679A1C1.DOCX", "https://docs.wto.org/imrd/directdoc.asp?DDFDocuments/u/G/TBTN22/THA679A1C1.DOCX")</f>
      </c>
      <c r="Q1476" s="6">
        <f>HYPERLINK("https://docs.wto.org/imrd/directdoc.asp?DDFDocuments/v/G/TBTN22/THA679A1C1.DOCX", "https://docs.wto.org/imrd/directdoc.asp?DDFDocuments/v/G/TBTN22/THA679A1C1.DOCX")</f>
      </c>
    </row>
    <row r="1477">
      <c r="A1477" s="6" t="s">
        <v>82</v>
      </c>
      <c r="B1477" s="7">
        <v>45580</v>
      </c>
      <c r="C1477" s="9">
        <f>HYPERLINK("https://eping.wto.org/en/Search?viewData= G/TBT/N/BRA/955/Add.2"," G/TBT/N/BRA/955/Add.2")</f>
      </c>
      <c r="D1477" s="8" t="s">
        <v>4794</v>
      </c>
      <c r="E1477" s="8" t="s">
        <v>4795</v>
      </c>
      <c r="F1477" s="8" t="s">
        <v>2271</v>
      </c>
      <c r="G1477" s="8" t="s">
        <v>4796</v>
      </c>
      <c r="H1477" s="8" t="s">
        <v>264</v>
      </c>
      <c r="I1477" s="8" t="s">
        <v>39</v>
      </c>
      <c r="J1477" s="8" t="s">
        <v>266</v>
      </c>
      <c r="K1477" s="6"/>
      <c r="L1477" s="7" t="s">
        <v>22</v>
      </c>
      <c r="M1477" s="6" t="s">
        <v>40</v>
      </c>
      <c r="N1477" s="8" t="s">
        <v>4797</v>
      </c>
      <c r="O1477" s="6">
        <f>HYPERLINK("https://docs.wto.org/imrd/directdoc.asp?DDFDocuments/t/G/TBTN20/BRA955A2.DOCX", "https://docs.wto.org/imrd/directdoc.asp?DDFDocuments/t/G/TBTN20/BRA955A2.DOCX")</f>
      </c>
      <c r="P1477" s="6">
        <f>HYPERLINK("https://docs.wto.org/imrd/directdoc.asp?DDFDocuments/u/G/TBTN20/BRA955A2.DOCX", "https://docs.wto.org/imrd/directdoc.asp?DDFDocuments/u/G/TBTN20/BRA955A2.DOCX")</f>
      </c>
      <c r="Q1477" s="6">
        <f>HYPERLINK("https://docs.wto.org/imrd/directdoc.asp?DDFDocuments/v/G/TBTN20/BRA955A2.DOCX", "https://docs.wto.org/imrd/directdoc.asp?DDFDocuments/v/G/TBTN20/BRA955A2.DOCX")</f>
      </c>
    </row>
    <row r="1478">
      <c r="A1478" s="6" t="s">
        <v>299</v>
      </c>
      <c r="B1478" s="7">
        <v>45580</v>
      </c>
      <c r="C1478" s="9">
        <f>HYPERLINK("https://eping.wto.org/en/Search?viewData= G/SPS/N/NZL/774"," G/SPS/N/NZL/774")</f>
      </c>
      <c r="D1478" s="8" t="s">
        <v>4798</v>
      </c>
      <c r="E1478" s="8" t="s">
        <v>4799</v>
      </c>
      <c r="F1478" s="8" t="s">
        <v>4800</v>
      </c>
      <c r="G1478" s="8" t="s">
        <v>4801</v>
      </c>
      <c r="H1478" s="8" t="s">
        <v>22</v>
      </c>
      <c r="I1478" s="8" t="s">
        <v>128</v>
      </c>
      <c r="J1478" s="8" t="s">
        <v>533</v>
      </c>
      <c r="K1478" s="6" t="s">
        <v>343</v>
      </c>
      <c r="L1478" s="7">
        <v>45639</v>
      </c>
      <c r="M1478" s="6" t="s">
        <v>32</v>
      </c>
      <c r="N1478" s="8" t="s">
        <v>4802</v>
      </c>
      <c r="O1478" s="6">
        <f>HYPERLINK("https://docs.wto.org/imrd/directdoc.asp?DDFDocuments/t/G/SPS/NNZL774.DOCX", "https://docs.wto.org/imrd/directdoc.asp?DDFDocuments/t/G/SPS/NNZL774.DOCX")</f>
      </c>
      <c r="P1478" s="6">
        <f>HYPERLINK("https://docs.wto.org/imrd/directdoc.asp?DDFDocuments/u/G/SPS/NNZL774.DOCX", "https://docs.wto.org/imrd/directdoc.asp?DDFDocuments/u/G/SPS/NNZL774.DOCX")</f>
      </c>
      <c r="Q1478" s="6">
        <f>HYPERLINK("https://docs.wto.org/imrd/directdoc.asp?DDFDocuments/v/G/SPS/NNZL774.DOCX", "https://docs.wto.org/imrd/directdoc.asp?DDFDocuments/v/G/SPS/NNZL774.DOCX")</f>
      </c>
    </row>
    <row r="1479">
      <c r="A1479" s="6" t="s">
        <v>1890</v>
      </c>
      <c r="B1479" s="7">
        <v>45580</v>
      </c>
      <c r="C1479" s="9">
        <f>HYPERLINK("https://eping.wto.org/en/Search?viewData= G/TBT/N/RUS/167"," G/TBT/N/RUS/167")</f>
      </c>
      <c r="D1479" s="8" t="s">
        <v>4803</v>
      </c>
      <c r="E1479" s="8" t="s">
        <v>4804</v>
      </c>
      <c r="F1479" s="8" t="s">
        <v>235</v>
      </c>
      <c r="G1479" s="8" t="s">
        <v>22</v>
      </c>
      <c r="H1479" s="8" t="s">
        <v>236</v>
      </c>
      <c r="I1479" s="8" t="s">
        <v>39</v>
      </c>
      <c r="J1479" s="8" t="s">
        <v>139</v>
      </c>
      <c r="K1479" s="6"/>
      <c r="L1479" s="7">
        <v>45640</v>
      </c>
      <c r="M1479" s="6" t="s">
        <v>32</v>
      </c>
      <c r="N1479" s="8" t="s">
        <v>4805</v>
      </c>
      <c r="O1479" s="6">
        <f>HYPERLINK("https://docs.wto.org/imrd/directdoc.asp?DDFDocuments/t/G/TBTN24/RUS167.DOCX", "https://docs.wto.org/imrd/directdoc.asp?DDFDocuments/t/G/TBTN24/RUS167.DOCX")</f>
      </c>
      <c r="P1479" s="6">
        <f>HYPERLINK("https://docs.wto.org/imrd/directdoc.asp?DDFDocuments/u/G/TBTN24/RUS167.DOCX", "https://docs.wto.org/imrd/directdoc.asp?DDFDocuments/u/G/TBTN24/RUS167.DOCX")</f>
      </c>
      <c r="Q1479" s="6">
        <f>HYPERLINK("https://docs.wto.org/imrd/directdoc.asp?DDFDocuments/v/G/TBTN24/RUS167.DOCX", "https://docs.wto.org/imrd/directdoc.asp?DDFDocuments/v/G/TBTN24/RUS167.DOCX")</f>
      </c>
    </row>
    <row r="1480">
      <c r="A1480" s="6" t="s">
        <v>152</v>
      </c>
      <c r="B1480" s="7">
        <v>45580</v>
      </c>
      <c r="C1480" s="9">
        <f>HYPERLINK("https://eping.wto.org/en/Search?viewData= G/SPS/N/PER/1004/Add.1"," G/SPS/N/PER/1004/Add.1")</f>
      </c>
      <c r="D1480" s="8" t="s">
        <v>4806</v>
      </c>
      <c r="E1480" s="8" t="s">
        <v>4806</v>
      </c>
      <c r="F1480" s="8" t="s">
        <v>4807</v>
      </c>
      <c r="G1480" s="8" t="s">
        <v>2525</v>
      </c>
      <c r="H1480" s="8" t="s">
        <v>22</v>
      </c>
      <c r="I1480" s="8" t="s">
        <v>128</v>
      </c>
      <c r="J1480" s="8" t="s">
        <v>364</v>
      </c>
      <c r="K1480" s="6"/>
      <c r="L1480" s="7" t="s">
        <v>22</v>
      </c>
      <c r="M1480" s="6" t="s">
        <v>40</v>
      </c>
      <c r="N1480" s="8" t="s">
        <v>4808</v>
      </c>
      <c r="O1480" s="6">
        <f>HYPERLINK("https://docs.wto.org/imrd/directdoc.asp?DDFDocuments/t/G/SPS/NPER1004A1.DOCX", "https://docs.wto.org/imrd/directdoc.asp?DDFDocuments/t/G/SPS/NPER1004A1.DOCX")</f>
      </c>
      <c r="P1480" s="6">
        <f>HYPERLINK("https://docs.wto.org/imrd/directdoc.asp?DDFDocuments/u/G/SPS/NPER1004A1.DOCX", "https://docs.wto.org/imrd/directdoc.asp?DDFDocuments/u/G/SPS/NPER1004A1.DOCX")</f>
      </c>
      <c r="Q1480" s="6">
        <f>HYPERLINK("https://docs.wto.org/imrd/directdoc.asp?DDFDocuments/v/G/SPS/NPER1004A1.DOCX", "https://docs.wto.org/imrd/directdoc.asp?DDFDocuments/v/G/SPS/NPER1004A1.DOCX")</f>
      </c>
    </row>
    <row r="1481">
      <c r="A1481" s="6" t="s">
        <v>4809</v>
      </c>
      <c r="B1481" s="7">
        <v>45580</v>
      </c>
      <c r="C1481" s="9">
        <f>HYPERLINK("https://eping.wto.org/en/Search?viewData= G/SPS/N/GEO/32"," G/SPS/N/GEO/32")</f>
      </c>
      <c r="D1481" s="8" t="s">
        <v>4810</v>
      </c>
      <c r="E1481" s="8" t="s">
        <v>4811</v>
      </c>
      <c r="F1481" s="8" t="s">
        <v>4812</v>
      </c>
      <c r="G1481" s="8" t="s">
        <v>22</v>
      </c>
      <c r="H1481" s="8" t="s">
        <v>22</v>
      </c>
      <c r="I1481" s="8" t="s">
        <v>4813</v>
      </c>
      <c r="J1481" s="8" t="s">
        <v>707</v>
      </c>
      <c r="K1481" s="6" t="s">
        <v>22</v>
      </c>
      <c r="L1481" s="7">
        <v>45640</v>
      </c>
      <c r="M1481" s="6" t="s">
        <v>32</v>
      </c>
      <c r="N1481" s="8" t="s">
        <v>4814</v>
      </c>
      <c r="O1481" s="6">
        <f>HYPERLINK("https://docs.wto.org/imrd/directdoc.asp?DDFDocuments/t/G/SPS/NGEO32.DOCX", "https://docs.wto.org/imrd/directdoc.asp?DDFDocuments/t/G/SPS/NGEO32.DOCX")</f>
      </c>
      <c r="P1481" s="6">
        <f>HYPERLINK("https://docs.wto.org/imrd/directdoc.asp?DDFDocuments/u/G/SPS/NGEO32.DOCX", "https://docs.wto.org/imrd/directdoc.asp?DDFDocuments/u/G/SPS/NGEO32.DOCX")</f>
      </c>
      <c r="Q1481" s="6">
        <f>HYPERLINK("https://docs.wto.org/imrd/directdoc.asp?DDFDocuments/v/G/SPS/NGEO32.DOCX", "https://docs.wto.org/imrd/directdoc.asp?DDFDocuments/v/G/SPS/NGEO32.DOCX")</f>
      </c>
    </row>
    <row r="1482">
      <c r="A1482" s="6" t="s">
        <v>343</v>
      </c>
      <c r="B1482" s="7">
        <v>45580</v>
      </c>
      <c r="C1482" s="9">
        <f>HYPERLINK("https://eping.wto.org/en/Search?viewData= G/SPS/N/THA/583/Add.1/Corr.1"," G/SPS/N/THA/583/Add.1/Corr.1")</f>
      </c>
      <c r="D1482" s="8" t="s">
        <v>4815</v>
      </c>
      <c r="E1482" s="8" t="s">
        <v>4816</v>
      </c>
      <c r="F1482" s="8" t="s">
        <v>4817</v>
      </c>
      <c r="G1482" s="8" t="s">
        <v>22</v>
      </c>
      <c r="H1482" s="8" t="s">
        <v>4792</v>
      </c>
      <c r="I1482" s="8" t="s">
        <v>120</v>
      </c>
      <c r="J1482" s="8" t="s">
        <v>4818</v>
      </c>
      <c r="K1482" s="6"/>
      <c r="L1482" s="7" t="s">
        <v>22</v>
      </c>
      <c r="M1482" s="6" t="s">
        <v>248</v>
      </c>
      <c r="N1482" s="8" t="s">
        <v>4819</v>
      </c>
      <c r="O1482" s="6">
        <f>HYPERLINK("https://docs.wto.org/imrd/directdoc.asp?DDFDocuments/t/G/SPS/NTHA583A1C1.DOCX", "https://docs.wto.org/imrd/directdoc.asp?DDFDocuments/t/G/SPS/NTHA583A1C1.DOCX")</f>
      </c>
      <c r="P1482" s="6">
        <f>HYPERLINK("https://docs.wto.org/imrd/directdoc.asp?DDFDocuments/u/G/SPS/NTHA583A1C1.DOCX", "https://docs.wto.org/imrd/directdoc.asp?DDFDocuments/u/G/SPS/NTHA583A1C1.DOCX")</f>
      </c>
      <c r="Q1482" s="6">
        <f>HYPERLINK("https://docs.wto.org/imrd/directdoc.asp?DDFDocuments/v/G/SPS/NTHA583A1C1.DOCX", "https://docs.wto.org/imrd/directdoc.asp?DDFDocuments/v/G/SPS/NTHA583A1C1.DOCX")</f>
      </c>
    </row>
    <row r="1483">
      <c r="A1483" s="6" t="s">
        <v>82</v>
      </c>
      <c r="B1483" s="7">
        <v>45580</v>
      </c>
      <c r="C1483" s="9">
        <f>HYPERLINK("https://eping.wto.org/en/Search?viewData= G/SPS/N/BRA/2329/Corr.1"," G/SPS/N/BRA/2329/Corr.1")</f>
      </c>
      <c r="D1483" s="8" t="s">
        <v>4820</v>
      </c>
      <c r="E1483" s="8" t="s">
        <v>4821</v>
      </c>
      <c r="F1483" s="8" t="s">
        <v>4822</v>
      </c>
      <c r="G1483" s="8" t="s">
        <v>2374</v>
      </c>
      <c r="H1483" s="8" t="s">
        <v>22</v>
      </c>
      <c r="I1483" s="8" t="s">
        <v>390</v>
      </c>
      <c r="J1483" s="8" t="s">
        <v>4823</v>
      </c>
      <c r="K1483" s="6"/>
      <c r="L1483" s="7" t="s">
        <v>22</v>
      </c>
      <c r="M1483" s="6" t="s">
        <v>248</v>
      </c>
      <c r="N1483" s="8" t="s">
        <v>4824</v>
      </c>
      <c r="O1483" s="6">
        <f>HYPERLINK("https://docs.wto.org/imrd/directdoc.asp?DDFDocuments/t/G/SPS/NBRA2329C1.DOCX", "https://docs.wto.org/imrd/directdoc.asp?DDFDocuments/t/G/SPS/NBRA2329C1.DOCX")</f>
      </c>
      <c r="P1483" s="6">
        <f>HYPERLINK("https://docs.wto.org/imrd/directdoc.asp?DDFDocuments/u/G/SPS/NBRA2329C1.DOCX", "https://docs.wto.org/imrd/directdoc.asp?DDFDocuments/u/G/SPS/NBRA2329C1.DOCX")</f>
      </c>
      <c r="Q1483" s="6">
        <f>HYPERLINK("https://docs.wto.org/imrd/directdoc.asp?DDFDocuments/v/G/SPS/NBRA2329C1.DOCX", "https://docs.wto.org/imrd/directdoc.asp?DDFDocuments/v/G/SPS/NBRA2329C1.DOCX")</f>
      </c>
    </row>
    <row r="1484">
      <c r="A1484" s="6" t="s">
        <v>1890</v>
      </c>
      <c r="B1484" s="7">
        <v>45580</v>
      </c>
      <c r="C1484" s="9">
        <f>HYPERLINK("https://eping.wto.org/en/Search?viewData= G/SPS/N/RUS/296"," G/SPS/N/RUS/296")</f>
      </c>
      <c r="D1484" s="8" t="s">
        <v>4825</v>
      </c>
      <c r="E1484" s="8" t="s">
        <v>4826</v>
      </c>
      <c r="F1484" s="8" t="s">
        <v>4827</v>
      </c>
      <c r="G1484" s="8" t="s">
        <v>3416</v>
      </c>
      <c r="H1484" s="8" t="s">
        <v>22</v>
      </c>
      <c r="I1484" s="8" t="s">
        <v>348</v>
      </c>
      <c r="J1484" s="8" t="s">
        <v>4828</v>
      </c>
      <c r="K1484" s="6" t="s">
        <v>4829</v>
      </c>
      <c r="L1484" s="7" t="s">
        <v>22</v>
      </c>
      <c r="M1484" s="6" t="s">
        <v>331</v>
      </c>
      <c r="N1484" s="8" t="s">
        <v>4830</v>
      </c>
      <c r="O1484" s="6">
        <f>HYPERLINK("https://docs.wto.org/imrd/directdoc.asp?DDFDocuments/t/G/SPS/NRUS296.DOCX", "https://docs.wto.org/imrd/directdoc.asp?DDFDocuments/t/G/SPS/NRUS296.DOCX")</f>
      </c>
      <c r="P1484" s="6">
        <f>HYPERLINK("https://docs.wto.org/imrd/directdoc.asp?DDFDocuments/u/G/SPS/NRUS296.DOCX", "https://docs.wto.org/imrd/directdoc.asp?DDFDocuments/u/G/SPS/NRUS296.DOCX")</f>
      </c>
      <c r="Q1484" s="6">
        <f>HYPERLINK("https://docs.wto.org/imrd/directdoc.asp?DDFDocuments/v/G/SPS/NRUS296.DOCX", "https://docs.wto.org/imrd/directdoc.asp?DDFDocuments/v/G/SPS/NRUS296.DOCX")</f>
      </c>
    </row>
    <row r="1485">
      <c r="A1485" s="6" t="s">
        <v>418</v>
      </c>
      <c r="B1485" s="7">
        <v>45580</v>
      </c>
      <c r="C1485" s="9">
        <f>HYPERLINK("https://eping.wto.org/en/Search?viewData= G/TBT/N/EU/1090"," G/TBT/N/EU/1090")</f>
      </c>
      <c r="D1485" s="8" t="s">
        <v>4831</v>
      </c>
      <c r="E1485" s="8" t="s">
        <v>4832</v>
      </c>
      <c r="F1485" s="8" t="s">
        <v>4833</v>
      </c>
      <c r="G1485" s="8" t="s">
        <v>22</v>
      </c>
      <c r="H1485" s="8" t="s">
        <v>4834</v>
      </c>
      <c r="I1485" s="8" t="s">
        <v>292</v>
      </c>
      <c r="J1485" s="8" t="s">
        <v>22</v>
      </c>
      <c r="K1485" s="6"/>
      <c r="L1485" s="7">
        <v>45640</v>
      </c>
      <c r="M1485" s="6" t="s">
        <v>32</v>
      </c>
      <c r="N1485" s="8" t="s">
        <v>4835</v>
      </c>
      <c r="O1485" s="6">
        <f>HYPERLINK("https://docs.wto.org/imrd/directdoc.asp?DDFDocuments/t/G/TBTN24/EU1090.DOCX", "https://docs.wto.org/imrd/directdoc.asp?DDFDocuments/t/G/TBTN24/EU1090.DOCX")</f>
      </c>
      <c r="P1485" s="6">
        <f>HYPERLINK("https://docs.wto.org/imrd/directdoc.asp?DDFDocuments/u/G/TBTN24/EU1090.DOCX", "https://docs.wto.org/imrd/directdoc.asp?DDFDocuments/u/G/TBTN24/EU1090.DOCX")</f>
      </c>
      <c r="Q1485" s="6">
        <f>HYPERLINK("https://docs.wto.org/imrd/directdoc.asp?DDFDocuments/v/G/TBTN24/EU1090.DOCX", "https://docs.wto.org/imrd/directdoc.asp?DDFDocuments/v/G/TBTN24/EU1090.DOCX")</f>
      </c>
    </row>
    <row r="1486">
      <c r="A1486" s="6" t="s">
        <v>82</v>
      </c>
      <c r="B1486" s="7">
        <v>45580</v>
      </c>
      <c r="C1486" s="9">
        <f>HYPERLINK("https://eping.wto.org/en/Search?viewData= G/TBT/N/BRA/1571"," G/TBT/N/BRA/1571")</f>
      </c>
      <c r="D1486" s="8" t="s">
        <v>4836</v>
      </c>
      <c r="E1486" s="8" t="s">
        <v>4837</v>
      </c>
      <c r="F1486" s="8" t="s">
        <v>4838</v>
      </c>
      <c r="G1486" s="8" t="s">
        <v>22</v>
      </c>
      <c r="H1486" s="8" t="s">
        <v>4839</v>
      </c>
      <c r="I1486" s="8" t="s">
        <v>39</v>
      </c>
      <c r="J1486" s="8" t="s">
        <v>139</v>
      </c>
      <c r="K1486" s="6"/>
      <c r="L1486" s="7">
        <v>45624</v>
      </c>
      <c r="M1486" s="6" t="s">
        <v>32</v>
      </c>
      <c r="N1486" s="8" t="s">
        <v>4840</v>
      </c>
      <c r="O1486" s="6">
        <f>HYPERLINK("https://docs.wto.org/imrd/directdoc.asp?DDFDocuments/t/G/TBTN24/BRA1571.DOCX", "https://docs.wto.org/imrd/directdoc.asp?DDFDocuments/t/G/TBTN24/BRA1571.DOCX")</f>
      </c>
      <c r="P1486" s="6">
        <f>HYPERLINK("https://docs.wto.org/imrd/directdoc.asp?DDFDocuments/u/G/TBTN24/BRA1571.DOCX", "https://docs.wto.org/imrd/directdoc.asp?DDFDocuments/u/G/TBTN24/BRA1571.DOCX")</f>
      </c>
      <c r="Q1486" s="6">
        <f>HYPERLINK("https://docs.wto.org/imrd/directdoc.asp?DDFDocuments/v/G/TBTN24/BRA1571.DOCX", "https://docs.wto.org/imrd/directdoc.asp?DDFDocuments/v/G/TBTN24/BRA1571.DOCX")</f>
      </c>
    </row>
    <row r="1487">
      <c r="A1487" s="6" t="s">
        <v>60</v>
      </c>
      <c r="B1487" s="7">
        <v>45579</v>
      </c>
      <c r="C1487" s="9">
        <f>HYPERLINK("https://eping.wto.org/en/Search?viewData= G/TBT/N/BDI/518, G/TBT/N/KEN/1686, G/TBT/N/RWA/1084, G/TBT/N/TZA/1184, G/TBT/N/UGA/2028"," G/TBT/N/BDI/518, G/TBT/N/KEN/1686, G/TBT/N/RWA/1084, G/TBT/N/TZA/1184, G/TBT/N/UGA/2028")</f>
      </c>
      <c r="D1487" s="8" t="s">
        <v>4841</v>
      </c>
      <c r="E1487" s="8" t="s">
        <v>4842</v>
      </c>
      <c r="F1487" s="8" t="s">
        <v>4843</v>
      </c>
      <c r="G1487" s="8" t="s">
        <v>22</v>
      </c>
      <c r="H1487" s="8" t="s">
        <v>893</v>
      </c>
      <c r="I1487" s="8" t="s">
        <v>3102</v>
      </c>
      <c r="J1487" s="8" t="s">
        <v>58</v>
      </c>
      <c r="K1487" s="6"/>
      <c r="L1487" s="7">
        <v>45639</v>
      </c>
      <c r="M1487" s="6" t="s">
        <v>32</v>
      </c>
      <c r="N1487" s="8" t="s">
        <v>4844</v>
      </c>
      <c r="O1487" s="6">
        <f>HYPERLINK("https://docs.wto.org/imrd/directdoc.asp?DDFDocuments/t/G/TBTN24/BDI518.DOCX", "https://docs.wto.org/imrd/directdoc.asp?DDFDocuments/t/G/TBTN24/BDI518.DOCX")</f>
      </c>
      <c r="P1487" s="6">
        <f>HYPERLINK("https://docs.wto.org/imrd/directdoc.asp?DDFDocuments/u/G/TBTN24/BDI518.DOCX", "https://docs.wto.org/imrd/directdoc.asp?DDFDocuments/u/G/TBTN24/BDI518.DOCX")</f>
      </c>
      <c r="Q1487" s="6">
        <f>HYPERLINK("https://docs.wto.org/imrd/directdoc.asp?DDFDocuments/v/G/TBTN24/BDI518.DOCX", "https://docs.wto.org/imrd/directdoc.asp?DDFDocuments/v/G/TBTN24/BDI518.DOCX")</f>
      </c>
    </row>
    <row r="1488">
      <c r="A1488" s="6" t="s">
        <v>82</v>
      </c>
      <c r="B1488" s="7">
        <v>45579</v>
      </c>
      <c r="C1488" s="9">
        <f>HYPERLINK("https://eping.wto.org/en/Search?viewData= G/SPS/N/BRA/2344"," G/SPS/N/BRA/2344")</f>
      </c>
      <c r="D1488" s="8" t="s">
        <v>4845</v>
      </c>
      <c r="E1488" s="8" t="s">
        <v>4845</v>
      </c>
      <c r="F1488" s="8" t="s">
        <v>4048</v>
      </c>
      <c r="G1488" s="8" t="s">
        <v>4846</v>
      </c>
      <c r="H1488" s="8" t="s">
        <v>22</v>
      </c>
      <c r="I1488" s="8" t="s">
        <v>390</v>
      </c>
      <c r="J1488" s="8" t="s">
        <v>492</v>
      </c>
      <c r="K1488" s="6" t="s">
        <v>400</v>
      </c>
      <c r="L1488" s="7">
        <v>45639</v>
      </c>
      <c r="M1488" s="6" t="s">
        <v>32</v>
      </c>
      <c r="N1488" s="8" t="s">
        <v>4847</v>
      </c>
      <c r="O1488" s="6">
        <f>HYPERLINK("https://docs.wto.org/imrd/directdoc.asp?DDFDocuments/t/G/SPS/NBRA2344.DOCX", "https://docs.wto.org/imrd/directdoc.asp?DDFDocuments/t/G/SPS/NBRA2344.DOCX")</f>
      </c>
      <c r="P1488" s="6">
        <f>HYPERLINK("https://docs.wto.org/imrd/directdoc.asp?DDFDocuments/u/G/SPS/NBRA2344.DOCX", "https://docs.wto.org/imrd/directdoc.asp?DDFDocuments/u/G/SPS/NBRA2344.DOCX")</f>
      </c>
      <c r="Q1488" s="6">
        <f>HYPERLINK("https://docs.wto.org/imrd/directdoc.asp?DDFDocuments/v/G/SPS/NBRA2344.DOCX", "https://docs.wto.org/imrd/directdoc.asp?DDFDocuments/v/G/SPS/NBRA2344.DOCX")</f>
      </c>
    </row>
    <row r="1489">
      <c r="A1489" s="6" t="s">
        <v>82</v>
      </c>
      <c r="B1489" s="7">
        <v>45579</v>
      </c>
      <c r="C1489" s="9">
        <f>HYPERLINK("https://eping.wto.org/en/Search?viewData= G/SPS/N/BRA/2343"," G/SPS/N/BRA/2343")</f>
      </c>
      <c r="D1489" s="8" t="s">
        <v>4848</v>
      </c>
      <c r="E1489" s="8" t="s">
        <v>4849</v>
      </c>
      <c r="F1489" s="8" t="s">
        <v>4048</v>
      </c>
      <c r="G1489" s="8" t="s">
        <v>4846</v>
      </c>
      <c r="H1489" s="8" t="s">
        <v>22</v>
      </c>
      <c r="I1489" s="8" t="s">
        <v>390</v>
      </c>
      <c r="J1489" s="8" t="s">
        <v>492</v>
      </c>
      <c r="K1489" s="6" t="s">
        <v>400</v>
      </c>
      <c r="L1489" s="7">
        <v>45639</v>
      </c>
      <c r="M1489" s="6" t="s">
        <v>32</v>
      </c>
      <c r="N1489" s="8" t="s">
        <v>4850</v>
      </c>
      <c r="O1489" s="6">
        <f>HYPERLINK("https://docs.wto.org/imrd/directdoc.asp?DDFDocuments/t/G/SPS/NBRA2343.DOCX", "https://docs.wto.org/imrd/directdoc.asp?DDFDocuments/t/G/SPS/NBRA2343.DOCX")</f>
      </c>
      <c r="P1489" s="6">
        <f>HYPERLINK("https://docs.wto.org/imrd/directdoc.asp?DDFDocuments/u/G/SPS/NBRA2343.DOCX", "https://docs.wto.org/imrd/directdoc.asp?DDFDocuments/u/G/SPS/NBRA2343.DOCX")</f>
      </c>
      <c r="Q1489" s="6">
        <f>HYPERLINK("https://docs.wto.org/imrd/directdoc.asp?DDFDocuments/v/G/SPS/NBRA2343.DOCX", "https://docs.wto.org/imrd/directdoc.asp?DDFDocuments/v/G/SPS/NBRA2343.DOCX")</f>
      </c>
    </row>
    <row r="1490">
      <c r="A1490" s="6" t="s">
        <v>82</v>
      </c>
      <c r="B1490" s="7">
        <v>45579</v>
      </c>
      <c r="C1490" s="9">
        <f>HYPERLINK("https://eping.wto.org/en/Search?viewData= G/SPS/N/BRA/2342"," G/SPS/N/BRA/2342")</f>
      </c>
      <c r="D1490" s="8" t="s">
        <v>4851</v>
      </c>
      <c r="E1490" s="8" t="s">
        <v>4852</v>
      </c>
      <c r="F1490" s="8" t="s">
        <v>4048</v>
      </c>
      <c r="G1490" s="8" t="s">
        <v>4846</v>
      </c>
      <c r="H1490" s="8" t="s">
        <v>22</v>
      </c>
      <c r="I1490" s="8" t="s">
        <v>390</v>
      </c>
      <c r="J1490" s="8" t="s">
        <v>492</v>
      </c>
      <c r="K1490" s="6" t="s">
        <v>132</v>
      </c>
      <c r="L1490" s="7">
        <v>45639</v>
      </c>
      <c r="M1490" s="6" t="s">
        <v>32</v>
      </c>
      <c r="N1490" s="8" t="s">
        <v>4853</v>
      </c>
      <c r="O1490" s="6">
        <f>HYPERLINK("https://docs.wto.org/imrd/directdoc.asp?DDFDocuments/t/G/SPS/NBRA2342.DOCX", "https://docs.wto.org/imrd/directdoc.asp?DDFDocuments/t/G/SPS/NBRA2342.DOCX")</f>
      </c>
      <c r="P1490" s="6">
        <f>HYPERLINK("https://docs.wto.org/imrd/directdoc.asp?DDFDocuments/u/G/SPS/NBRA2342.DOCX", "https://docs.wto.org/imrd/directdoc.asp?DDFDocuments/u/G/SPS/NBRA2342.DOCX")</f>
      </c>
      <c r="Q1490" s="6">
        <f>HYPERLINK("https://docs.wto.org/imrd/directdoc.asp?DDFDocuments/v/G/SPS/NBRA2342.DOCX", "https://docs.wto.org/imrd/directdoc.asp?DDFDocuments/v/G/SPS/NBRA2342.DOCX")</f>
      </c>
    </row>
    <row r="1491">
      <c r="A1491" s="6" t="s">
        <v>68</v>
      </c>
      <c r="B1491" s="7">
        <v>45579</v>
      </c>
      <c r="C1491" s="9">
        <f>HYPERLINK("https://eping.wto.org/en/Search?viewData= G/TBT/N/BDI/517, G/TBT/N/KEN/1685, G/TBT/N/RWA/1083, G/TBT/N/TZA/1183, G/TBT/N/UGA/2027"," G/TBT/N/BDI/517, G/TBT/N/KEN/1685, G/TBT/N/RWA/1083, G/TBT/N/TZA/1183, G/TBT/N/UGA/2027")</f>
      </c>
      <c r="D1491" s="8" t="s">
        <v>4854</v>
      </c>
      <c r="E1491" s="8" t="s">
        <v>4855</v>
      </c>
      <c r="F1491" s="8" t="s">
        <v>4843</v>
      </c>
      <c r="G1491" s="8" t="s">
        <v>4856</v>
      </c>
      <c r="H1491" s="8" t="s">
        <v>893</v>
      </c>
      <c r="I1491" s="8" t="s">
        <v>3102</v>
      </c>
      <c r="J1491" s="8" t="s">
        <v>58</v>
      </c>
      <c r="K1491" s="6"/>
      <c r="L1491" s="7">
        <v>45639</v>
      </c>
      <c r="M1491" s="6" t="s">
        <v>32</v>
      </c>
      <c r="N1491" s="8" t="s">
        <v>4857</v>
      </c>
      <c r="O1491" s="6">
        <f>HYPERLINK("https://docs.wto.org/imrd/directdoc.asp?DDFDocuments/t/G/TBTN24/BDI517.DOCX", "https://docs.wto.org/imrd/directdoc.asp?DDFDocuments/t/G/TBTN24/BDI517.DOCX")</f>
      </c>
      <c r="P1491" s="6">
        <f>HYPERLINK("https://docs.wto.org/imrd/directdoc.asp?DDFDocuments/u/G/TBTN24/BDI517.DOCX", "https://docs.wto.org/imrd/directdoc.asp?DDFDocuments/u/G/TBTN24/BDI517.DOCX")</f>
      </c>
      <c r="Q1491" s="6">
        <f>HYPERLINK("https://docs.wto.org/imrd/directdoc.asp?DDFDocuments/v/G/TBTN24/BDI517.DOCX", "https://docs.wto.org/imrd/directdoc.asp?DDFDocuments/v/G/TBTN24/BDI517.DOCX")</f>
      </c>
    </row>
    <row r="1492">
      <c r="A1492" s="6" t="s">
        <v>82</v>
      </c>
      <c r="B1492" s="7">
        <v>45579</v>
      </c>
      <c r="C1492" s="9">
        <f>HYPERLINK("https://eping.wto.org/en/Search?viewData= G/SPS/N/BRA/2337"," G/SPS/N/BRA/2337")</f>
      </c>
      <c r="D1492" s="8" t="s">
        <v>4858</v>
      </c>
      <c r="E1492" s="8" t="s">
        <v>4859</v>
      </c>
      <c r="F1492" s="8" t="s">
        <v>212</v>
      </c>
      <c r="G1492" s="8" t="s">
        <v>22</v>
      </c>
      <c r="H1492" s="8" t="s">
        <v>1314</v>
      </c>
      <c r="I1492" s="8" t="s">
        <v>120</v>
      </c>
      <c r="J1492" s="8" t="s">
        <v>969</v>
      </c>
      <c r="K1492" s="6"/>
      <c r="L1492" s="7">
        <v>45628</v>
      </c>
      <c r="M1492" s="6" t="s">
        <v>32</v>
      </c>
      <c r="N1492" s="8" t="s">
        <v>4860</v>
      </c>
      <c r="O1492" s="6">
        <f>HYPERLINK("https://docs.wto.org/imrd/directdoc.asp?DDFDocuments/t/G/SPS/NBRA2337.DOCX", "https://docs.wto.org/imrd/directdoc.asp?DDFDocuments/t/G/SPS/NBRA2337.DOCX")</f>
      </c>
      <c r="P1492" s="6">
        <f>HYPERLINK("https://docs.wto.org/imrd/directdoc.asp?DDFDocuments/u/G/SPS/NBRA2337.DOCX", "https://docs.wto.org/imrd/directdoc.asp?DDFDocuments/u/G/SPS/NBRA2337.DOCX")</f>
      </c>
      <c r="Q1492" s="6">
        <f>HYPERLINK("https://docs.wto.org/imrd/directdoc.asp?DDFDocuments/v/G/SPS/NBRA2337.DOCX", "https://docs.wto.org/imrd/directdoc.asp?DDFDocuments/v/G/SPS/NBRA2337.DOCX")</f>
      </c>
    </row>
    <row r="1493">
      <c r="A1493" s="6" t="s">
        <v>847</v>
      </c>
      <c r="B1493" s="7">
        <v>45579</v>
      </c>
      <c r="C1493" s="9">
        <f>HYPERLINK("https://eping.wto.org/en/Search?viewData= G/SPS/N/UKR/157/Rev.1/Add.1"," G/SPS/N/UKR/157/Rev.1/Add.1")</f>
      </c>
      <c r="D1493" s="8" t="s">
        <v>4861</v>
      </c>
      <c r="E1493" s="8" t="s">
        <v>4862</v>
      </c>
      <c r="F1493" s="8" t="s">
        <v>4863</v>
      </c>
      <c r="G1493" s="8" t="s">
        <v>4864</v>
      </c>
      <c r="H1493" s="8" t="s">
        <v>22</v>
      </c>
      <c r="I1493" s="8" t="s">
        <v>120</v>
      </c>
      <c r="J1493" s="8" t="s">
        <v>4865</v>
      </c>
      <c r="K1493" s="6"/>
      <c r="L1493" s="7" t="s">
        <v>22</v>
      </c>
      <c r="M1493" s="6" t="s">
        <v>40</v>
      </c>
      <c r="N1493" s="8" t="s">
        <v>4866</v>
      </c>
      <c r="O1493" s="6">
        <f>HYPERLINK("https://docs.wto.org/imrd/directdoc.asp?DDFDocuments/t/G/SPS/NUKR157R1A1.DOCX", "https://docs.wto.org/imrd/directdoc.asp?DDFDocuments/t/G/SPS/NUKR157R1A1.DOCX")</f>
      </c>
      <c r="P1493" s="6">
        <f>HYPERLINK("https://docs.wto.org/imrd/directdoc.asp?DDFDocuments/u/G/SPS/NUKR157R1A1.DOCX", "https://docs.wto.org/imrd/directdoc.asp?DDFDocuments/u/G/SPS/NUKR157R1A1.DOCX")</f>
      </c>
      <c r="Q1493" s="6">
        <f>HYPERLINK("https://docs.wto.org/imrd/directdoc.asp?DDFDocuments/v/G/SPS/NUKR157R1A1.DOCX", "https://docs.wto.org/imrd/directdoc.asp?DDFDocuments/v/G/SPS/NUKR157R1A1.DOCX")</f>
      </c>
    </row>
    <row r="1494">
      <c r="A1494" s="6" t="s">
        <v>82</v>
      </c>
      <c r="B1494" s="7">
        <v>45579</v>
      </c>
      <c r="C1494" s="9">
        <f>HYPERLINK("https://eping.wto.org/en/Search?viewData= G/SPS/N/BRA/2346"," G/SPS/N/BRA/2346")</f>
      </c>
      <c r="D1494" s="8" t="s">
        <v>4867</v>
      </c>
      <c r="E1494" s="8" t="s">
        <v>4868</v>
      </c>
      <c r="F1494" s="8" t="s">
        <v>4869</v>
      </c>
      <c r="G1494" s="8" t="s">
        <v>22</v>
      </c>
      <c r="H1494" s="8" t="s">
        <v>22</v>
      </c>
      <c r="I1494" s="8" t="s">
        <v>390</v>
      </c>
      <c r="J1494" s="8" t="s">
        <v>492</v>
      </c>
      <c r="K1494" s="6" t="s">
        <v>1339</v>
      </c>
      <c r="L1494" s="7">
        <v>45639</v>
      </c>
      <c r="M1494" s="6" t="s">
        <v>32</v>
      </c>
      <c r="N1494" s="8" t="s">
        <v>4870</v>
      </c>
      <c r="O1494" s="6">
        <f>HYPERLINK("https://docs.wto.org/imrd/directdoc.asp?DDFDocuments/t/G/SPS/NBRA2346.DOCX", "https://docs.wto.org/imrd/directdoc.asp?DDFDocuments/t/G/SPS/NBRA2346.DOCX")</f>
      </c>
      <c r="P1494" s="6">
        <f>HYPERLINK("https://docs.wto.org/imrd/directdoc.asp?DDFDocuments/u/G/SPS/NBRA2346.DOCX", "https://docs.wto.org/imrd/directdoc.asp?DDFDocuments/u/G/SPS/NBRA2346.DOCX")</f>
      </c>
      <c r="Q1494" s="6">
        <f>HYPERLINK("https://docs.wto.org/imrd/directdoc.asp?DDFDocuments/v/G/SPS/NBRA2346.DOCX", "https://docs.wto.org/imrd/directdoc.asp?DDFDocuments/v/G/SPS/NBRA2346.DOCX")</f>
      </c>
    </row>
    <row r="1495">
      <c r="A1495" s="6" t="s">
        <v>26</v>
      </c>
      <c r="B1495" s="7">
        <v>45579</v>
      </c>
      <c r="C1495" s="9">
        <f>HYPERLINK("https://eping.wto.org/en/Search?viewData= G/TBT/N/BDI/520, G/TBT/N/KEN/1688, G/TBT/N/RWA/1086, G/TBT/N/TZA/1186, G/TBT/N/UGA/2030"," G/TBT/N/BDI/520, G/TBT/N/KEN/1688, G/TBT/N/RWA/1086, G/TBT/N/TZA/1186, G/TBT/N/UGA/2030")</f>
      </c>
      <c r="D1495" s="8" t="s">
        <v>4871</v>
      </c>
      <c r="E1495" s="8" t="s">
        <v>4872</v>
      </c>
      <c r="F1495" s="8" t="s">
        <v>4843</v>
      </c>
      <c r="G1495" s="8" t="s">
        <v>22</v>
      </c>
      <c r="H1495" s="8" t="s">
        <v>893</v>
      </c>
      <c r="I1495" s="8" t="s">
        <v>3102</v>
      </c>
      <c r="J1495" s="8" t="s">
        <v>58</v>
      </c>
      <c r="K1495" s="6"/>
      <c r="L1495" s="7">
        <v>45639</v>
      </c>
      <c r="M1495" s="6" t="s">
        <v>32</v>
      </c>
      <c r="N1495" s="8" t="s">
        <v>4873</v>
      </c>
      <c r="O1495" s="6">
        <f>HYPERLINK("https://docs.wto.org/imrd/directdoc.asp?DDFDocuments/t/G/TBTN24/BDI520.DOCX", "https://docs.wto.org/imrd/directdoc.asp?DDFDocuments/t/G/TBTN24/BDI520.DOCX")</f>
      </c>
      <c r="P1495" s="6">
        <f>HYPERLINK("https://docs.wto.org/imrd/directdoc.asp?DDFDocuments/u/G/TBTN24/BDI520.DOCX", "https://docs.wto.org/imrd/directdoc.asp?DDFDocuments/u/G/TBTN24/BDI520.DOCX")</f>
      </c>
      <c r="Q1495" s="6">
        <f>HYPERLINK("https://docs.wto.org/imrd/directdoc.asp?DDFDocuments/v/G/TBTN24/BDI520.DOCX", "https://docs.wto.org/imrd/directdoc.asp?DDFDocuments/v/G/TBTN24/BDI520.DOCX")</f>
      </c>
    </row>
    <row r="1496">
      <c r="A1496" s="6" t="s">
        <v>68</v>
      </c>
      <c r="B1496" s="7">
        <v>45579</v>
      </c>
      <c r="C1496" s="9">
        <f>HYPERLINK("https://eping.wto.org/en/Search?viewData= G/TBT/N/BDI/520, G/TBT/N/KEN/1688, G/TBT/N/RWA/1086, G/TBT/N/TZA/1186, G/TBT/N/UGA/2030"," G/TBT/N/BDI/520, G/TBT/N/KEN/1688, G/TBT/N/RWA/1086, G/TBT/N/TZA/1186, G/TBT/N/UGA/2030")</f>
      </c>
      <c r="D1496" s="8" t="s">
        <v>4871</v>
      </c>
      <c r="E1496" s="8" t="s">
        <v>4872</v>
      </c>
      <c r="F1496" s="8" t="s">
        <v>4843</v>
      </c>
      <c r="G1496" s="8" t="s">
        <v>22</v>
      </c>
      <c r="H1496" s="8" t="s">
        <v>893</v>
      </c>
      <c r="I1496" s="8" t="s">
        <v>3102</v>
      </c>
      <c r="J1496" s="8" t="s">
        <v>58</v>
      </c>
      <c r="K1496" s="6"/>
      <c r="L1496" s="7">
        <v>45639</v>
      </c>
      <c r="M1496" s="6" t="s">
        <v>32</v>
      </c>
      <c r="N1496" s="8" t="s">
        <v>4873</v>
      </c>
      <c r="O1496" s="6">
        <f>HYPERLINK("https://docs.wto.org/imrd/directdoc.asp?DDFDocuments/t/G/TBTN24/BDI520.DOCX", "https://docs.wto.org/imrd/directdoc.asp?DDFDocuments/t/G/TBTN24/BDI520.DOCX")</f>
      </c>
      <c r="P1496" s="6">
        <f>HYPERLINK("https://docs.wto.org/imrd/directdoc.asp?DDFDocuments/u/G/TBTN24/BDI520.DOCX", "https://docs.wto.org/imrd/directdoc.asp?DDFDocuments/u/G/TBTN24/BDI520.DOCX")</f>
      </c>
      <c r="Q1496" s="6">
        <f>HYPERLINK("https://docs.wto.org/imrd/directdoc.asp?DDFDocuments/v/G/TBTN24/BDI520.DOCX", "https://docs.wto.org/imrd/directdoc.asp?DDFDocuments/v/G/TBTN24/BDI520.DOCX")</f>
      </c>
    </row>
    <row r="1497">
      <c r="A1497" s="6" t="s">
        <v>49</v>
      </c>
      <c r="B1497" s="7">
        <v>45579</v>
      </c>
      <c r="C1497" s="9">
        <f>HYPERLINK("https://eping.wto.org/en/Search?viewData= G/TBT/N/BDI/520, G/TBT/N/KEN/1688, G/TBT/N/RWA/1086, G/TBT/N/TZA/1186, G/TBT/N/UGA/2030"," G/TBT/N/BDI/520, G/TBT/N/KEN/1688, G/TBT/N/RWA/1086, G/TBT/N/TZA/1186, G/TBT/N/UGA/2030")</f>
      </c>
      <c r="D1497" s="8" t="s">
        <v>4871</v>
      </c>
      <c r="E1497" s="8" t="s">
        <v>4872</v>
      </c>
      <c r="F1497" s="8" t="s">
        <v>4843</v>
      </c>
      <c r="G1497" s="8" t="s">
        <v>22</v>
      </c>
      <c r="H1497" s="8" t="s">
        <v>893</v>
      </c>
      <c r="I1497" s="8" t="s">
        <v>3102</v>
      </c>
      <c r="J1497" s="8" t="s">
        <v>58</v>
      </c>
      <c r="K1497" s="6"/>
      <c r="L1497" s="7">
        <v>45639</v>
      </c>
      <c r="M1497" s="6" t="s">
        <v>32</v>
      </c>
      <c r="N1497" s="8" t="s">
        <v>4873</v>
      </c>
      <c r="O1497" s="6">
        <f>HYPERLINK("https://docs.wto.org/imrd/directdoc.asp?DDFDocuments/t/G/TBTN24/BDI520.DOCX", "https://docs.wto.org/imrd/directdoc.asp?DDFDocuments/t/G/TBTN24/BDI520.DOCX")</f>
      </c>
      <c r="P1497" s="6">
        <f>HYPERLINK("https://docs.wto.org/imrd/directdoc.asp?DDFDocuments/u/G/TBTN24/BDI520.DOCX", "https://docs.wto.org/imrd/directdoc.asp?DDFDocuments/u/G/TBTN24/BDI520.DOCX")</f>
      </c>
      <c r="Q1497" s="6">
        <f>HYPERLINK("https://docs.wto.org/imrd/directdoc.asp?DDFDocuments/v/G/TBTN24/BDI520.DOCX", "https://docs.wto.org/imrd/directdoc.asp?DDFDocuments/v/G/TBTN24/BDI520.DOCX")</f>
      </c>
    </row>
    <row r="1498">
      <c r="A1498" s="6" t="s">
        <v>132</v>
      </c>
      <c r="B1498" s="7">
        <v>45579</v>
      </c>
      <c r="C1498" s="9">
        <f>HYPERLINK("https://eping.wto.org/en/Search?viewData= G/SPS/N/CAN/1562/Add.1"," G/SPS/N/CAN/1562/Add.1")</f>
      </c>
      <c r="D1498" s="8" t="s">
        <v>4874</v>
      </c>
      <c r="E1498" s="8" t="s">
        <v>4875</v>
      </c>
      <c r="F1498" s="8" t="s">
        <v>4876</v>
      </c>
      <c r="G1498" s="8" t="s">
        <v>22</v>
      </c>
      <c r="H1498" s="8" t="s">
        <v>1559</v>
      </c>
      <c r="I1498" s="8" t="s">
        <v>120</v>
      </c>
      <c r="J1498" s="8" t="s">
        <v>1560</v>
      </c>
      <c r="K1498" s="6"/>
      <c r="L1498" s="7" t="s">
        <v>22</v>
      </c>
      <c r="M1498" s="6" t="s">
        <v>40</v>
      </c>
      <c r="N1498" s="6"/>
      <c r="O1498" s="6">
        <f>HYPERLINK("https://docs.wto.org/imrd/directdoc.asp?DDFDocuments/t/G/SPS/NCAN1562A1.DOCX", "https://docs.wto.org/imrd/directdoc.asp?DDFDocuments/t/G/SPS/NCAN1562A1.DOCX")</f>
      </c>
      <c r="P1498" s="6">
        <f>HYPERLINK("https://docs.wto.org/imrd/directdoc.asp?DDFDocuments/u/G/SPS/NCAN1562A1.DOCX", "https://docs.wto.org/imrd/directdoc.asp?DDFDocuments/u/G/SPS/NCAN1562A1.DOCX")</f>
      </c>
      <c r="Q1498" s="6">
        <f>HYPERLINK("https://docs.wto.org/imrd/directdoc.asp?DDFDocuments/v/G/SPS/NCAN1562A1.DOCX", "https://docs.wto.org/imrd/directdoc.asp?DDFDocuments/v/G/SPS/NCAN1562A1.DOCX")</f>
      </c>
    </row>
    <row r="1499">
      <c r="A1499" s="6" t="s">
        <v>60</v>
      </c>
      <c r="B1499" s="7">
        <v>45579</v>
      </c>
      <c r="C1499" s="9">
        <f>HYPERLINK("https://eping.wto.org/en/Search?viewData= G/TBT/N/BDI/517, G/TBT/N/KEN/1685, G/TBT/N/RWA/1083, G/TBT/N/TZA/1183, G/TBT/N/UGA/2027"," G/TBT/N/BDI/517, G/TBT/N/KEN/1685, G/TBT/N/RWA/1083, G/TBT/N/TZA/1183, G/TBT/N/UGA/2027")</f>
      </c>
      <c r="D1499" s="8" t="s">
        <v>4854</v>
      </c>
      <c r="E1499" s="8" t="s">
        <v>4855</v>
      </c>
      <c r="F1499" s="8" t="s">
        <v>4843</v>
      </c>
      <c r="G1499" s="8" t="s">
        <v>4856</v>
      </c>
      <c r="H1499" s="8" t="s">
        <v>893</v>
      </c>
      <c r="I1499" s="8" t="s">
        <v>3102</v>
      </c>
      <c r="J1499" s="8" t="s">
        <v>58</v>
      </c>
      <c r="K1499" s="6"/>
      <c r="L1499" s="7">
        <v>45639</v>
      </c>
      <c r="M1499" s="6" t="s">
        <v>32</v>
      </c>
      <c r="N1499" s="8" t="s">
        <v>4857</v>
      </c>
      <c r="O1499" s="6">
        <f>HYPERLINK("https://docs.wto.org/imrd/directdoc.asp?DDFDocuments/t/G/TBTN24/BDI517.DOCX", "https://docs.wto.org/imrd/directdoc.asp?DDFDocuments/t/G/TBTN24/BDI517.DOCX")</f>
      </c>
      <c r="P1499" s="6">
        <f>HYPERLINK("https://docs.wto.org/imrd/directdoc.asp?DDFDocuments/u/G/TBTN24/BDI517.DOCX", "https://docs.wto.org/imrd/directdoc.asp?DDFDocuments/u/G/TBTN24/BDI517.DOCX")</f>
      </c>
      <c r="Q1499" s="6">
        <f>HYPERLINK("https://docs.wto.org/imrd/directdoc.asp?DDFDocuments/v/G/TBTN24/BDI517.DOCX", "https://docs.wto.org/imrd/directdoc.asp?DDFDocuments/v/G/TBTN24/BDI517.DOCX")</f>
      </c>
    </row>
    <row r="1500">
      <c r="A1500" s="6" t="s">
        <v>82</v>
      </c>
      <c r="B1500" s="7">
        <v>45579</v>
      </c>
      <c r="C1500" s="9">
        <f>HYPERLINK("https://eping.wto.org/en/Search?viewData= G/SPS/N/BRA/2345"," G/SPS/N/BRA/2345")</f>
      </c>
      <c r="D1500" s="8" t="s">
        <v>4877</v>
      </c>
      <c r="E1500" s="8" t="s">
        <v>4878</v>
      </c>
      <c r="F1500" s="8" t="s">
        <v>4869</v>
      </c>
      <c r="G1500" s="8" t="s">
        <v>22</v>
      </c>
      <c r="H1500" s="8" t="s">
        <v>22</v>
      </c>
      <c r="I1500" s="8" t="s">
        <v>390</v>
      </c>
      <c r="J1500" s="8" t="s">
        <v>391</v>
      </c>
      <c r="K1500" s="6" t="s">
        <v>400</v>
      </c>
      <c r="L1500" s="7">
        <v>45639</v>
      </c>
      <c r="M1500" s="6" t="s">
        <v>32</v>
      </c>
      <c r="N1500" s="8" t="s">
        <v>4879</v>
      </c>
      <c r="O1500" s="6">
        <f>HYPERLINK("https://docs.wto.org/imrd/directdoc.asp?DDFDocuments/t/G/SPS/NBRA2345.DOCX", "https://docs.wto.org/imrd/directdoc.asp?DDFDocuments/t/G/SPS/NBRA2345.DOCX")</f>
      </c>
      <c r="P1500" s="6">
        <f>HYPERLINK("https://docs.wto.org/imrd/directdoc.asp?DDFDocuments/u/G/SPS/NBRA2345.DOCX", "https://docs.wto.org/imrd/directdoc.asp?DDFDocuments/u/G/SPS/NBRA2345.DOCX")</f>
      </c>
      <c r="Q1500" s="6">
        <f>HYPERLINK("https://docs.wto.org/imrd/directdoc.asp?DDFDocuments/v/G/SPS/NBRA2345.DOCX", "https://docs.wto.org/imrd/directdoc.asp?DDFDocuments/v/G/SPS/NBRA2345.DOCX")</f>
      </c>
    </row>
    <row r="1501">
      <c r="A1501" s="6" t="s">
        <v>49</v>
      </c>
      <c r="B1501" s="7">
        <v>45579</v>
      </c>
      <c r="C1501" s="9">
        <f>HYPERLINK("https://eping.wto.org/en/Search?viewData= G/TBT/N/BDI/517, G/TBT/N/KEN/1685, G/TBT/N/RWA/1083, G/TBT/N/TZA/1183, G/TBT/N/UGA/2027"," G/TBT/N/BDI/517, G/TBT/N/KEN/1685, G/TBT/N/RWA/1083, G/TBT/N/TZA/1183, G/TBT/N/UGA/2027")</f>
      </c>
      <c r="D1501" s="8" t="s">
        <v>4854</v>
      </c>
      <c r="E1501" s="8" t="s">
        <v>4855</v>
      </c>
      <c r="F1501" s="8" t="s">
        <v>4843</v>
      </c>
      <c r="G1501" s="8" t="s">
        <v>4856</v>
      </c>
      <c r="H1501" s="8" t="s">
        <v>893</v>
      </c>
      <c r="I1501" s="8" t="s">
        <v>3102</v>
      </c>
      <c r="J1501" s="8" t="s">
        <v>58</v>
      </c>
      <c r="K1501" s="6"/>
      <c r="L1501" s="7">
        <v>45639</v>
      </c>
      <c r="M1501" s="6" t="s">
        <v>32</v>
      </c>
      <c r="N1501" s="8" t="s">
        <v>4857</v>
      </c>
      <c r="O1501" s="6">
        <f>HYPERLINK("https://docs.wto.org/imrd/directdoc.asp?DDFDocuments/t/G/TBTN24/BDI517.DOCX", "https://docs.wto.org/imrd/directdoc.asp?DDFDocuments/t/G/TBTN24/BDI517.DOCX")</f>
      </c>
      <c r="P1501" s="6">
        <f>HYPERLINK("https://docs.wto.org/imrd/directdoc.asp?DDFDocuments/u/G/TBTN24/BDI517.DOCX", "https://docs.wto.org/imrd/directdoc.asp?DDFDocuments/u/G/TBTN24/BDI517.DOCX")</f>
      </c>
      <c r="Q1501" s="6">
        <f>HYPERLINK("https://docs.wto.org/imrd/directdoc.asp?DDFDocuments/v/G/TBTN24/BDI517.DOCX", "https://docs.wto.org/imrd/directdoc.asp?DDFDocuments/v/G/TBTN24/BDI517.DOCX")</f>
      </c>
    </row>
    <row r="1502">
      <c r="A1502" s="6" t="s">
        <v>49</v>
      </c>
      <c r="B1502" s="7">
        <v>45579</v>
      </c>
      <c r="C1502" s="9">
        <f>HYPERLINK("https://eping.wto.org/en/Search?viewData= G/TBT/N/BDI/518, G/TBT/N/KEN/1686, G/TBT/N/RWA/1084, G/TBT/N/TZA/1184, G/TBT/N/UGA/2028"," G/TBT/N/BDI/518, G/TBT/N/KEN/1686, G/TBT/N/RWA/1084, G/TBT/N/TZA/1184, G/TBT/N/UGA/2028")</f>
      </c>
      <c r="D1502" s="8" t="s">
        <v>4841</v>
      </c>
      <c r="E1502" s="8" t="s">
        <v>4842</v>
      </c>
      <c r="F1502" s="8" t="s">
        <v>4843</v>
      </c>
      <c r="G1502" s="8" t="s">
        <v>4880</v>
      </c>
      <c r="H1502" s="8" t="s">
        <v>893</v>
      </c>
      <c r="I1502" s="8" t="s">
        <v>3102</v>
      </c>
      <c r="J1502" s="8" t="s">
        <v>58</v>
      </c>
      <c r="K1502" s="6"/>
      <c r="L1502" s="7">
        <v>45639</v>
      </c>
      <c r="M1502" s="6" t="s">
        <v>32</v>
      </c>
      <c r="N1502" s="8" t="s">
        <v>4844</v>
      </c>
      <c r="O1502" s="6">
        <f>HYPERLINK("https://docs.wto.org/imrd/directdoc.asp?DDFDocuments/t/G/TBTN24/BDI518.DOCX", "https://docs.wto.org/imrd/directdoc.asp?DDFDocuments/t/G/TBTN24/BDI518.DOCX")</f>
      </c>
      <c r="P1502" s="6">
        <f>HYPERLINK("https://docs.wto.org/imrd/directdoc.asp?DDFDocuments/u/G/TBTN24/BDI518.DOCX", "https://docs.wto.org/imrd/directdoc.asp?DDFDocuments/u/G/TBTN24/BDI518.DOCX")</f>
      </c>
      <c r="Q1502" s="6">
        <f>HYPERLINK("https://docs.wto.org/imrd/directdoc.asp?DDFDocuments/v/G/TBTN24/BDI518.DOCX", "https://docs.wto.org/imrd/directdoc.asp?DDFDocuments/v/G/TBTN24/BDI518.DOCX")</f>
      </c>
    </row>
    <row r="1503">
      <c r="A1503" s="6" t="s">
        <v>82</v>
      </c>
      <c r="B1503" s="7">
        <v>45579</v>
      </c>
      <c r="C1503" s="9">
        <f>HYPERLINK("https://eping.wto.org/en/Search?viewData= G/SPS/N/BRA/2316/Add.1"," G/SPS/N/BRA/2316/Add.1")</f>
      </c>
      <c r="D1503" s="8" t="s">
        <v>4881</v>
      </c>
      <c r="E1503" s="8" t="s">
        <v>4882</v>
      </c>
      <c r="F1503" s="8" t="s">
        <v>212</v>
      </c>
      <c r="G1503" s="8" t="s">
        <v>22</v>
      </c>
      <c r="H1503" s="8" t="s">
        <v>213</v>
      </c>
      <c r="I1503" s="8" t="s">
        <v>120</v>
      </c>
      <c r="J1503" s="8" t="s">
        <v>1903</v>
      </c>
      <c r="K1503" s="6"/>
      <c r="L1503" s="7">
        <v>45639</v>
      </c>
      <c r="M1503" s="6" t="s">
        <v>40</v>
      </c>
      <c r="N1503" s="8" t="s">
        <v>4883</v>
      </c>
      <c r="O1503" s="6">
        <f>HYPERLINK("https://docs.wto.org/imrd/directdoc.asp?DDFDocuments/t/G/SPS/NBRA2316A1.DOCX", "https://docs.wto.org/imrd/directdoc.asp?DDFDocuments/t/G/SPS/NBRA2316A1.DOCX")</f>
      </c>
      <c r="P1503" s="6">
        <f>HYPERLINK("https://docs.wto.org/imrd/directdoc.asp?DDFDocuments/u/G/SPS/NBRA2316A1.DOCX", "https://docs.wto.org/imrd/directdoc.asp?DDFDocuments/u/G/SPS/NBRA2316A1.DOCX")</f>
      </c>
      <c r="Q1503" s="6">
        <f>HYPERLINK("https://docs.wto.org/imrd/directdoc.asp?DDFDocuments/v/G/SPS/NBRA2316A1.DOCX", "https://docs.wto.org/imrd/directdoc.asp?DDFDocuments/v/G/SPS/NBRA2316A1.DOCX")</f>
      </c>
    </row>
    <row r="1504">
      <c r="A1504" s="6" t="s">
        <v>82</v>
      </c>
      <c r="B1504" s="7">
        <v>45579</v>
      </c>
      <c r="C1504" s="9">
        <f>HYPERLINK("https://eping.wto.org/en/Search?viewData= G/SPS/N/BRA/2258/Add.1"," G/SPS/N/BRA/2258/Add.1")</f>
      </c>
      <c r="D1504" s="8" t="s">
        <v>4884</v>
      </c>
      <c r="E1504" s="8" t="s">
        <v>4885</v>
      </c>
      <c r="F1504" s="8" t="s">
        <v>4886</v>
      </c>
      <c r="G1504" s="8" t="s">
        <v>686</v>
      </c>
      <c r="H1504" s="8" t="s">
        <v>22</v>
      </c>
      <c r="I1504" s="8" t="s">
        <v>390</v>
      </c>
      <c r="J1504" s="8" t="s">
        <v>726</v>
      </c>
      <c r="K1504" s="6"/>
      <c r="L1504" s="7" t="s">
        <v>22</v>
      </c>
      <c r="M1504" s="6" t="s">
        <v>40</v>
      </c>
      <c r="N1504" s="8" t="s">
        <v>4887</v>
      </c>
      <c r="O1504" s="6">
        <f>HYPERLINK("https://docs.wto.org/imrd/directdoc.asp?DDFDocuments/t/G/SPS/NBRA2258A1.DOCX", "https://docs.wto.org/imrd/directdoc.asp?DDFDocuments/t/G/SPS/NBRA2258A1.DOCX")</f>
      </c>
      <c r="P1504" s="6">
        <f>HYPERLINK("https://docs.wto.org/imrd/directdoc.asp?DDFDocuments/u/G/SPS/NBRA2258A1.DOCX", "https://docs.wto.org/imrd/directdoc.asp?DDFDocuments/u/G/SPS/NBRA2258A1.DOCX")</f>
      </c>
      <c r="Q1504" s="6">
        <f>HYPERLINK("https://docs.wto.org/imrd/directdoc.asp?DDFDocuments/v/G/SPS/NBRA2258A1.DOCX", "https://docs.wto.org/imrd/directdoc.asp?DDFDocuments/v/G/SPS/NBRA2258A1.DOCX")</f>
      </c>
    </row>
    <row r="1505">
      <c r="A1505" s="6" t="s">
        <v>53</v>
      </c>
      <c r="B1505" s="7">
        <v>45579</v>
      </c>
      <c r="C1505" s="9">
        <f>HYPERLINK("https://eping.wto.org/en/Search?viewData= G/TBT/N/BDI/520, G/TBT/N/KEN/1688, G/TBT/N/RWA/1086, G/TBT/N/TZA/1186, G/TBT/N/UGA/2030"," G/TBT/N/BDI/520, G/TBT/N/KEN/1688, G/TBT/N/RWA/1086, G/TBT/N/TZA/1186, G/TBT/N/UGA/2030")</f>
      </c>
      <c r="D1505" s="8" t="s">
        <v>4871</v>
      </c>
      <c r="E1505" s="8" t="s">
        <v>4872</v>
      </c>
      <c r="F1505" s="8" t="s">
        <v>4843</v>
      </c>
      <c r="G1505" s="8" t="s">
        <v>22</v>
      </c>
      <c r="H1505" s="8" t="s">
        <v>893</v>
      </c>
      <c r="I1505" s="8" t="s">
        <v>3102</v>
      </c>
      <c r="J1505" s="8" t="s">
        <v>58</v>
      </c>
      <c r="K1505" s="6"/>
      <c r="L1505" s="7">
        <v>45639</v>
      </c>
      <c r="M1505" s="6" t="s">
        <v>32</v>
      </c>
      <c r="N1505" s="8" t="s">
        <v>4873</v>
      </c>
      <c r="O1505" s="6">
        <f>HYPERLINK("https://docs.wto.org/imrd/directdoc.asp?DDFDocuments/t/G/TBTN24/BDI520.DOCX", "https://docs.wto.org/imrd/directdoc.asp?DDFDocuments/t/G/TBTN24/BDI520.DOCX")</f>
      </c>
      <c r="P1505" s="6">
        <f>HYPERLINK("https://docs.wto.org/imrd/directdoc.asp?DDFDocuments/u/G/TBTN24/BDI520.DOCX", "https://docs.wto.org/imrd/directdoc.asp?DDFDocuments/u/G/TBTN24/BDI520.DOCX")</f>
      </c>
      <c r="Q1505" s="6">
        <f>HYPERLINK("https://docs.wto.org/imrd/directdoc.asp?DDFDocuments/v/G/TBTN24/BDI520.DOCX", "https://docs.wto.org/imrd/directdoc.asp?DDFDocuments/v/G/TBTN24/BDI520.DOCX")</f>
      </c>
    </row>
    <row r="1506">
      <c r="A1506" s="6" t="s">
        <v>874</v>
      </c>
      <c r="B1506" s="7">
        <v>45579</v>
      </c>
      <c r="C1506" s="9">
        <f>HYPERLINK("https://eping.wto.org/en/Search?viewData= G/TBT/N/PHL/337"," G/TBT/N/PHL/337")</f>
      </c>
      <c r="D1506" s="8" t="s">
        <v>4888</v>
      </c>
      <c r="E1506" s="8" t="s">
        <v>4889</v>
      </c>
      <c r="F1506" s="8" t="s">
        <v>1791</v>
      </c>
      <c r="G1506" s="8" t="s">
        <v>22</v>
      </c>
      <c r="H1506" s="8" t="s">
        <v>1169</v>
      </c>
      <c r="I1506" s="8" t="s">
        <v>138</v>
      </c>
      <c r="J1506" s="8" t="s">
        <v>139</v>
      </c>
      <c r="K1506" s="6"/>
      <c r="L1506" s="7">
        <v>45590</v>
      </c>
      <c r="M1506" s="6" t="s">
        <v>32</v>
      </c>
      <c r="N1506" s="8" t="s">
        <v>4890</v>
      </c>
      <c r="O1506" s="6">
        <f>HYPERLINK("https://docs.wto.org/imrd/directdoc.asp?DDFDocuments/t/G/TBTN24/PHL337.DOCX", "https://docs.wto.org/imrd/directdoc.asp?DDFDocuments/t/G/TBTN24/PHL337.DOCX")</f>
      </c>
      <c r="P1506" s="6">
        <f>HYPERLINK("https://docs.wto.org/imrd/directdoc.asp?DDFDocuments/u/G/TBTN24/PHL337.DOCX", "https://docs.wto.org/imrd/directdoc.asp?DDFDocuments/u/G/TBTN24/PHL337.DOCX")</f>
      </c>
      <c r="Q1506" s="6">
        <f>HYPERLINK("https://docs.wto.org/imrd/directdoc.asp?DDFDocuments/v/G/TBTN24/PHL337.DOCX", "https://docs.wto.org/imrd/directdoc.asp?DDFDocuments/v/G/TBTN24/PHL337.DOCX")</f>
      </c>
    </row>
    <row r="1507">
      <c r="A1507" s="6" t="s">
        <v>68</v>
      </c>
      <c r="B1507" s="7">
        <v>45579</v>
      </c>
      <c r="C1507" s="9">
        <f>HYPERLINK("https://eping.wto.org/en/Search?viewData= G/TBT/N/BDI/519, G/TBT/N/KEN/1687, G/TBT/N/RWA/1085, G/TBT/N/TZA/1185, G/TBT/N/UGA/2029"," G/TBT/N/BDI/519, G/TBT/N/KEN/1687, G/TBT/N/RWA/1085, G/TBT/N/TZA/1185, G/TBT/N/UGA/2029")</f>
      </c>
      <c r="D1507" s="8" t="s">
        <v>4891</v>
      </c>
      <c r="E1507" s="8" t="s">
        <v>4892</v>
      </c>
      <c r="F1507" s="8" t="s">
        <v>4843</v>
      </c>
      <c r="G1507" s="8" t="s">
        <v>22</v>
      </c>
      <c r="H1507" s="8" t="s">
        <v>893</v>
      </c>
      <c r="I1507" s="8" t="s">
        <v>3102</v>
      </c>
      <c r="J1507" s="8" t="s">
        <v>58</v>
      </c>
      <c r="K1507" s="6"/>
      <c r="L1507" s="7">
        <v>45639</v>
      </c>
      <c r="M1507" s="6" t="s">
        <v>32</v>
      </c>
      <c r="N1507" s="8" t="s">
        <v>4893</v>
      </c>
      <c r="O1507" s="6">
        <f>HYPERLINK("https://docs.wto.org/imrd/directdoc.asp?DDFDocuments/t/G/TBTN24/BDI519.DOCX", "https://docs.wto.org/imrd/directdoc.asp?DDFDocuments/t/G/TBTN24/BDI519.DOCX")</f>
      </c>
      <c r="P1507" s="6">
        <f>HYPERLINK("https://docs.wto.org/imrd/directdoc.asp?DDFDocuments/u/G/TBTN24/BDI519.DOCX", "https://docs.wto.org/imrd/directdoc.asp?DDFDocuments/u/G/TBTN24/BDI519.DOCX")</f>
      </c>
      <c r="Q1507" s="6">
        <f>HYPERLINK("https://docs.wto.org/imrd/directdoc.asp?DDFDocuments/v/G/TBTN24/BDI519.DOCX", "https://docs.wto.org/imrd/directdoc.asp?DDFDocuments/v/G/TBTN24/BDI519.DOCX")</f>
      </c>
    </row>
    <row r="1508">
      <c r="A1508" s="6" t="s">
        <v>60</v>
      </c>
      <c r="B1508" s="7">
        <v>45579</v>
      </c>
      <c r="C1508" s="9">
        <f>HYPERLINK("https://eping.wto.org/en/Search?viewData= G/TBT/N/BDI/520, G/TBT/N/KEN/1688, G/TBT/N/RWA/1086, G/TBT/N/TZA/1186, G/TBT/N/UGA/2030"," G/TBT/N/BDI/520, G/TBT/N/KEN/1688, G/TBT/N/RWA/1086, G/TBT/N/TZA/1186, G/TBT/N/UGA/2030")</f>
      </c>
      <c r="D1508" s="8" t="s">
        <v>4871</v>
      </c>
      <c r="E1508" s="8" t="s">
        <v>4872</v>
      </c>
      <c r="F1508" s="8" t="s">
        <v>4843</v>
      </c>
      <c r="G1508" s="8" t="s">
        <v>22</v>
      </c>
      <c r="H1508" s="8" t="s">
        <v>893</v>
      </c>
      <c r="I1508" s="8" t="s">
        <v>3102</v>
      </c>
      <c r="J1508" s="8" t="s">
        <v>58</v>
      </c>
      <c r="K1508" s="6"/>
      <c r="L1508" s="7">
        <v>45639</v>
      </c>
      <c r="M1508" s="6" t="s">
        <v>32</v>
      </c>
      <c r="N1508" s="8" t="s">
        <v>4873</v>
      </c>
      <c r="O1508" s="6">
        <f>HYPERLINK("https://docs.wto.org/imrd/directdoc.asp?DDFDocuments/t/G/TBTN24/BDI520.DOCX", "https://docs.wto.org/imrd/directdoc.asp?DDFDocuments/t/G/TBTN24/BDI520.DOCX")</f>
      </c>
      <c r="P1508" s="6">
        <f>HYPERLINK("https://docs.wto.org/imrd/directdoc.asp?DDFDocuments/u/G/TBTN24/BDI520.DOCX", "https://docs.wto.org/imrd/directdoc.asp?DDFDocuments/u/G/TBTN24/BDI520.DOCX")</f>
      </c>
      <c r="Q1508" s="6">
        <f>HYPERLINK("https://docs.wto.org/imrd/directdoc.asp?DDFDocuments/v/G/TBTN24/BDI520.DOCX", "https://docs.wto.org/imrd/directdoc.asp?DDFDocuments/v/G/TBTN24/BDI520.DOCX")</f>
      </c>
    </row>
    <row r="1509">
      <c r="A1509" s="6" t="s">
        <v>82</v>
      </c>
      <c r="B1509" s="7">
        <v>45579</v>
      </c>
      <c r="C1509" s="9">
        <f>HYPERLINK("https://eping.wto.org/en/Search?viewData= G/SPS/N/BRA/2257/Add.1"," G/SPS/N/BRA/2257/Add.1")</f>
      </c>
      <c r="D1509" s="8" t="s">
        <v>4894</v>
      </c>
      <c r="E1509" s="8" t="s">
        <v>4895</v>
      </c>
      <c r="F1509" s="8" t="s">
        <v>4896</v>
      </c>
      <c r="G1509" s="8" t="s">
        <v>4897</v>
      </c>
      <c r="H1509" s="8" t="s">
        <v>22</v>
      </c>
      <c r="I1509" s="8" t="s">
        <v>390</v>
      </c>
      <c r="J1509" s="8" t="s">
        <v>4898</v>
      </c>
      <c r="K1509" s="6"/>
      <c r="L1509" s="7" t="s">
        <v>22</v>
      </c>
      <c r="M1509" s="6" t="s">
        <v>40</v>
      </c>
      <c r="N1509" s="8" t="s">
        <v>4899</v>
      </c>
      <c r="O1509" s="6">
        <f>HYPERLINK("https://docs.wto.org/imrd/directdoc.asp?DDFDocuments/t/G/SPS/NBRA2257A1.DOCX", "https://docs.wto.org/imrd/directdoc.asp?DDFDocuments/t/G/SPS/NBRA2257A1.DOCX")</f>
      </c>
      <c r="P1509" s="6">
        <f>HYPERLINK("https://docs.wto.org/imrd/directdoc.asp?DDFDocuments/u/G/SPS/NBRA2257A1.DOCX", "https://docs.wto.org/imrd/directdoc.asp?DDFDocuments/u/G/SPS/NBRA2257A1.DOCX")</f>
      </c>
      <c r="Q1509" s="6">
        <f>HYPERLINK("https://docs.wto.org/imrd/directdoc.asp?DDFDocuments/v/G/SPS/NBRA2257A1.DOCX", "https://docs.wto.org/imrd/directdoc.asp?DDFDocuments/v/G/SPS/NBRA2257A1.DOCX")</f>
      </c>
    </row>
    <row r="1510">
      <c r="A1510" s="6" t="s">
        <v>132</v>
      </c>
      <c r="B1510" s="7">
        <v>45579</v>
      </c>
      <c r="C1510" s="9">
        <f>HYPERLINK("https://eping.wto.org/en/Search?viewData= G/TBT/N/CAN/732"," G/TBT/N/CAN/732")</f>
      </c>
      <c r="D1510" s="8" t="s">
        <v>4900</v>
      </c>
      <c r="E1510" s="8" t="s">
        <v>4901</v>
      </c>
      <c r="F1510" s="8" t="s">
        <v>4902</v>
      </c>
      <c r="G1510" s="8" t="s">
        <v>22</v>
      </c>
      <c r="H1510" s="8" t="s">
        <v>4903</v>
      </c>
      <c r="I1510" s="8" t="s">
        <v>138</v>
      </c>
      <c r="J1510" s="8" t="s">
        <v>22</v>
      </c>
      <c r="K1510" s="6"/>
      <c r="L1510" s="7">
        <v>45646</v>
      </c>
      <c r="M1510" s="6" t="s">
        <v>32</v>
      </c>
      <c r="N1510" s="8" t="s">
        <v>4904</v>
      </c>
      <c r="O1510" s="6">
        <f>HYPERLINK("https://docs.wto.org/imrd/directdoc.asp?DDFDocuments/t/G/TBTN24/CAN732.DOCX", "https://docs.wto.org/imrd/directdoc.asp?DDFDocuments/t/G/TBTN24/CAN732.DOCX")</f>
      </c>
      <c r="P1510" s="6">
        <f>HYPERLINK("https://docs.wto.org/imrd/directdoc.asp?DDFDocuments/u/G/TBTN24/CAN732.DOCX", "https://docs.wto.org/imrd/directdoc.asp?DDFDocuments/u/G/TBTN24/CAN732.DOCX")</f>
      </c>
      <c r="Q1510" s="6">
        <f>HYPERLINK("https://docs.wto.org/imrd/directdoc.asp?DDFDocuments/v/G/TBTN24/CAN732.DOCX", "https://docs.wto.org/imrd/directdoc.asp?DDFDocuments/v/G/TBTN24/CAN732.DOCX")</f>
      </c>
    </row>
    <row r="1511">
      <c r="A1511" s="6" t="s">
        <v>26</v>
      </c>
      <c r="B1511" s="7">
        <v>45579</v>
      </c>
      <c r="C1511" s="9">
        <f>HYPERLINK("https://eping.wto.org/en/Search?viewData= G/TBT/N/BDI/519, G/TBT/N/KEN/1687, G/TBT/N/RWA/1085, G/TBT/N/TZA/1185, G/TBT/N/UGA/2029"," G/TBT/N/BDI/519, G/TBT/N/KEN/1687, G/TBT/N/RWA/1085, G/TBT/N/TZA/1185, G/TBT/N/UGA/2029")</f>
      </c>
      <c r="D1511" s="8" t="s">
        <v>4891</v>
      </c>
      <c r="E1511" s="8" t="s">
        <v>4892</v>
      </c>
      <c r="F1511" s="8" t="s">
        <v>4843</v>
      </c>
      <c r="G1511" s="8" t="s">
        <v>22</v>
      </c>
      <c r="H1511" s="8" t="s">
        <v>893</v>
      </c>
      <c r="I1511" s="8" t="s">
        <v>3102</v>
      </c>
      <c r="J1511" s="8" t="s">
        <v>58</v>
      </c>
      <c r="K1511" s="6"/>
      <c r="L1511" s="7">
        <v>45639</v>
      </c>
      <c r="M1511" s="6" t="s">
        <v>32</v>
      </c>
      <c r="N1511" s="8" t="s">
        <v>4893</v>
      </c>
      <c r="O1511" s="6">
        <f>HYPERLINK("https://docs.wto.org/imrd/directdoc.asp?DDFDocuments/t/G/TBTN24/BDI519.DOCX", "https://docs.wto.org/imrd/directdoc.asp?DDFDocuments/t/G/TBTN24/BDI519.DOCX")</f>
      </c>
      <c r="P1511" s="6">
        <f>HYPERLINK("https://docs.wto.org/imrd/directdoc.asp?DDFDocuments/u/G/TBTN24/BDI519.DOCX", "https://docs.wto.org/imrd/directdoc.asp?DDFDocuments/u/G/TBTN24/BDI519.DOCX")</f>
      </c>
      <c r="Q1511" s="6">
        <f>HYPERLINK("https://docs.wto.org/imrd/directdoc.asp?DDFDocuments/v/G/TBTN24/BDI519.DOCX", "https://docs.wto.org/imrd/directdoc.asp?DDFDocuments/v/G/TBTN24/BDI519.DOCX")</f>
      </c>
    </row>
    <row r="1512">
      <c r="A1512" s="6" t="s">
        <v>82</v>
      </c>
      <c r="B1512" s="7">
        <v>45579</v>
      </c>
      <c r="C1512" s="9">
        <f>HYPERLINK("https://eping.wto.org/en/Search?viewData= G/SPS/N/BRA/2348"," G/SPS/N/BRA/2348")</f>
      </c>
      <c r="D1512" s="8" t="s">
        <v>4905</v>
      </c>
      <c r="E1512" s="8" t="s">
        <v>4906</v>
      </c>
      <c r="F1512" s="8" t="s">
        <v>4048</v>
      </c>
      <c r="G1512" s="8" t="s">
        <v>4846</v>
      </c>
      <c r="H1512" s="8" t="s">
        <v>22</v>
      </c>
      <c r="I1512" s="8" t="s">
        <v>390</v>
      </c>
      <c r="J1512" s="8" t="s">
        <v>492</v>
      </c>
      <c r="K1512" s="6" t="s">
        <v>4907</v>
      </c>
      <c r="L1512" s="7">
        <v>45639</v>
      </c>
      <c r="M1512" s="6" t="s">
        <v>32</v>
      </c>
      <c r="N1512" s="8" t="s">
        <v>4908</v>
      </c>
      <c r="O1512" s="6">
        <f>HYPERLINK("https://docs.wto.org/imrd/directdoc.asp?DDFDocuments/t/G/SPS/NBRA2348.DOCX", "https://docs.wto.org/imrd/directdoc.asp?DDFDocuments/t/G/SPS/NBRA2348.DOCX")</f>
      </c>
      <c r="P1512" s="6">
        <f>HYPERLINK("https://docs.wto.org/imrd/directdoc.asp?DDFDocuments/u/G/SPS/NBRA2348.DOCX", "https://docs.wto.org/imrd/directdoc.asp?DDFDocuments/u/G/SPS/NBRA2348.DOCX")</f>
      </c>
      <c r="Q1512" s="6">
        <f>HYPERLINK("https://docs.wto.org/imrd/directdoc.asp?DDFDocuments/v/G/SPS/NBRA2348.DOCX", "https://docs.wto.org/imrd/directdoc.asp?DDFDocuments/v/G/SPS/NBRA2348.DOCX")</f>
      </c>
    </row>
    <row r="1513">
      <c r="A1513" s="6" t="s">
        <v>82</v>
      </c>
      <c r="B1513" s="7">
        <v>45579</v>
      </c>
      <c r="C1513" s="9">
        <f>HYPERLINK("https://eping.wto.org/en/Search?viewData= G/SPS/N/BRA/2341"," G/SPS/N/BRA/2341")</f>
      </c>
      <c r="D1513" s="8" t="s">
        <v>4909</v>
      </c>
      <c r="E1513" s="8" t="s">
        <v>4910</v>
      </c>
      <c r="F1513" s="8" t="s">
        <v>4048</v>
      </c>
      <c r="G1513" s="8" t="s">
        <v>4846</v>
      </c>
      <c r="H1513" s="8" t="s">
        <v>22</v>
      </c>
      <c r="I1513" s="8" t="s">
        <v>390</v>
      </c>
      <c r="J1513" s="8" t="s">
        <v>492</v>
      </c>
      <c r="K1513" s="6" t="s">
        <v>132</v>
      </c>
      <c r="L1513" s="7">
        <v>45639</v>
      </c>
      <c r="M1513" s="6" t="s">
        <v>32</v>
      </c>
      <c r="N1513" s="8" t="s">
        <v>4911</v>
      </c>
      <c r="O1513" s="6">
        <f>HYPERLINK("https://docs.wto.org/imrd/directdoc.asp?DDFDocuments/t/G/SPS/NBRA2341.DOCX", "https://docs.wto.org/imrd/directdoc.asp?DDFDocuments/t/G/SPS/NBRA2341.DOCX")</f>
      </c>
      <c r="P1513" s="6">
        <f>HYPERLINK("https://docs.wto.org/imrd/directdoc.asp?DDFDocuments/u/G/SPS/NBRA2341.DOCX", "https://docs.wto.org/imrd/directdoc.asp?DDFDocuments/u/G/SPS/NBRA2341.DOCX")</f>
      </c>
      <c r="Q1513" s="6">
        <f>HYPERLINK("https://docs.wto.org/imrd/directdoc.asp?DDFDocuments/v/G/SPS/NBRA2341.DOCX", "https://docs.wto.org/imrd/directdoc.asp?DDFDocuments/v/G/SPS/NBRA2341.DOCX")</f>
      </c>
    </row>
    <row r="1514">
      <c r="A1514" s="6" t="s">
        <v>26</v>
      </c>
      <c r="B1514" s="7">
        <v>45579</v>
      </c>
      <c r="C1514" s="9">
        <f>HYPERLINK("https://eping.wto.org/en/Search?viewData= G/TBT/N/BDI/517, G/TBT/N/KEN/1685, G/TBT/N/RWA/1083, G/TBT/N/TZA/1183, G/TBT/N/UGA/2027"," G/TBT/N/BDI/517, G/TBT/N/KEN/1685, G/TBT/N/RWA/1083, G/TBT/N/TZA/1183, G/TBT/N/UGA/2027")</f>
      </c>
      <c r="D1514" s="8" t="s">
        <v>4854</v>
      </c>
      <c r="E1514" s="8" t="s">
        <v>4855</v>
      </c>
      <c r="F1514" s="8" t="s">
        <v>4843</v>
      </c>
      <c r="G1514" s="8" t="s">
        <v>4856</v>
      </c>
      <c r="H1514" s="8" t="s">
        <v>893</v>
      </c>
      <c r="I1514" s="8" t="s">
        <v>3102</v>
      </c>
      <c r="J1514" s="8" t="s">
        <v>58</v>
      </c>
      <c r="K1514" s="6"/>
      <c r="L1514" s="7">
        <v>45639</v>
      </c>
      <c r="M1514" s="6" t="s">
        <v>32</v>
      </c>
      <c r="N1514" s="8" t="s">
        <v>4857</v>
      </c>
      <c r="O1514" s="6">
        <f>HYPERLINK("https://docs.wto.org/imrd/directdoc.asp?DDFDocuments/t/G/TBTN24/BDI517.DOCX", "https://docs.wto.org/imrd/directdoc.asp?DDFDocuments/t/G/TBTN24/BDI517.DOCX")</f>
      </c>
      <c r="P1514" s="6">
        <f>HYPERLINK("https://docs.wto.org/imrd/directdoc.asp?DDFDocuments/u/G/TBTN24/BDI517.DOCX", "https://docs.wto.org/imrd/directdoc.asp?DDFDocuments/u/G/TBTN24/BDI517.DOCX")</f>
      </c>
      <c r="Q1514" s="6">
        <f>HYPERLINK("https://docs.wto.org/imrd/directdoc.asp?DDFDocuments/v/G/TBTN24/BDI517.DOCX", "https://docs.wto.org/imrd/directdoc.asp?DDFDocuments/v/G/TBTN24/BDI517.DOCX")</f>
      </c>
    </row>
    <row r="1515">
      <c r="A1515" s="6" t="s">
        <v>49</v>
      </c>
      <c r="B1515" s="7">
        <v>45579</v>
      </c>
      <c r="C1515" s="9">
        <f>HYPERLINK("https://eping.wto.org/en/Search?viewData= G/TBT/N/BDI/519, G/TBT/N/KEN/1687, G/TBT/N/RWA/1085, G/TBT/N/TZA/1185, G/TBT/N/UGA/2029"," G/TBT/N/BDI/519, G/TBT/N/KEN/1687, G/TBT/N/RWA/1085, G/TBT/N/TZA/1185, G/TBT/N/UGA/2029")</f>
      </c>
      <c r="D1515" s="8" t="s">
        <v>4891</v>
      </c>
      <c r="E1515" s="8" t="s">
        <v>4892</v>
      </c>
      <c r="F1515" s="8" t="s">
        <v>4843</v>
      </c>
      <c r="G1515" s="8" t="s">
        <v>4912</v>
      </c>
      <c r="H1515" s="8" t="s">
        <v>893</v>
      </c>
      <c r="I1515" s="8" t="s">
        <v>3102</v>
      </c>
      <c r="J1515" s="8" t="s">
        <v>58</v>
      </c>
      <c r="K1515" s="6"/>
      <c r="L1515" s="7">
        <v>45639</v>
      </c>
      <c r="M1515" s="6" t="s">
        <v>32</v>
      </c>
      <c r="N1515" s="8" t="s">
        <v>4893</v>
      </c>
      <c r="O1515" s="6">
        <f>HYPERLINK("https://docs.wto.org/imrd/directdoc.asp?DDFDocuments/t/G/TBTN24/BDI519.DOCX", "https://docs.wto.org/imrd/directdoc.asp?DDFDocuments/t/G/TBTN24/BDI519.DOCX")</f>
      </c>
      <c r="P1515" s="6">
        <f>HYPERLINK("https://docs.wto.org/imrd/directdoc.asp?DDFDocuments/u/G/TBTN24/BDI519.DOCX", "https://docs.wto.org/imrd/directdoc.asp?DDFDocuments/u/G/TBTN24/BDI519.DOCX")</f>
      </c>
      <c r="Q1515" s="6">
        <f>HYPERLINK("https://docs.wto.org/imrd/directdoc.asp?DDFDocuments/v/G/TBTN24/BDI519.DOCX", "https://docs.wto.org/imrd/directdoc.asp?DDFDocuments/v/G/TBTN24/BDI519.DOCX")</f>
      </c>
    </row>
    <row r="1516">
      <c r="A1516" s="6" t="s">
        <v>646</v>
      </c>
      <c r="B1516" s="7">
        <v>45579</v>
      </c>
      <c r="C1516" s="9">
        <f>HYPERLINK("https://eping.wto.org/en/Search?viewData= G/TBT/N/COL/269/Add.1"," G/TBT/N/COL/269/Add.1")</f>
      </c>
      <c r="D1516" s="8" t="s">
        <v>4913</v>
      </c>
      <c r="E1516" s="8" t="s">
        <v>4914</v>
      </c>
      <c r="F1516" s="8" t="s">
        <v>4915</v>
      </c>
      <c r="G1516" s="8" t="s">
        <v>4916</v>
      </c>
      <c r="H1516" s="8" t="s">
        <v>4917</v>
      </c>
      <c r="I1516" s="8" t="s">
        <v>823</v>
      </c>
      <c r="J1516" s="8" t="s">
        <v>22</v>
      </c>
      <c r="K1516" s="6"/>
      <c r="L1516" s="7" t="s">
        <v>22</v>
      </c>
      <c r="M1516" s="6" t="s">
        <v>40</v>
      </c>
      <c r="N1516" s="8" t="s">
        <v>4918</v>
      </c>
      <c r="O1516" s="6">
        <f>HYPERLINK("https://docs.wto.org/imrd/directdoc.asp?DDFDocuments/t/G/TBTN24/COL269A1.DOCX", "https://docs.wto.org/imrd/directdoc.asp?DDFDocuments/t/G/TBTN24/COL269A1.DOCX")</f>
      </c>
      <c r="P1516" s="6">
        <f>HYPERLINK("https://docs.wto.org/imrd/directdoc.asp?DDFDocuments/u/G/TBTN24/COL269A1.DOCX", "https://docs.wto.org/imrd/directdoc.asp?DDFDocuments/u/G/TBTN24/COL269A1.DOCX")</f>
      </c>
      <c r="Q1516" s="6">
        <f>HYPERLINK("https://docs.wto.org/imrd/directdoc.asp?DDFDocuments/v/G/TBTN24/COL269A1.DOCX", "https://docs.wto.org/imrd/directdoc.asp?DDFDocuments/v/G/TBTN24/COL269A1.DOCX")</f>
      </c>
    </row>
    <row r="1517">
      <c r="A1517" s="6" t="s">
        <v>53</v>
      </c>
      <c r="B1517" s="7">
        <v>45579</v>
      </c>
      <c r="C1517" s="9">
        <f>HYPERLINK("https://eping.wto.org/en/Search?viewData= G/TBT/N/BDI/519, G/TBT/N/KEN/1687, G/TBT/N/RWA/1085, G/TBT/N/TZA/1185, G/TBT/N/UGA/2029"," G/TBT/N/BDI/519, G/TBT/N/KEN/1687, G/TBT/N/RWA/1085, G/TBT/N/TZA/1185, G/TBT/N/UGA/2029")</f>
      </c>
      <c r="D1517" s="8" t="s">
        <v>4891</v>
      </c>
      <c r="E1517" s="8" t="s">
        <v>4892</v>
      </c>
      <c r="F1517" s="8" t="s">
        <v>4843</v>
      </c>
      <c r="G1517" s="8" t="s">
        <v>22</v>
      </c>
      <c r="H1517" s="8" t="s">
        <v>893</v>
      </c>
      <c r="I1517" s="8" t="s">
        <v>3102</v>
      </c>
      <c r="J1517" s="8" t="s">
        <v>58</v>
      </c>
      <c r="K1517" s="6"/>
      <c r="L1517" s="7">
        <v>45639</v>
      </c>
      <c r="M1517" s="6" t="s">
        <v>32</v>
      </c>
      <c r="N1517" s="8" t="s">
        <v>4893</v>
      </c>
      <c r="O1517" s="6">
        <f>HYPERLINK("https://docs.wto.org/imrd/directdoc.asp?DDFDocuments/t/G/TBTN24/BDI519.DOCX", "https://docs.wto.org/imrd/directdoc.asp?DDFDocuments/t/G/TBTN24/BDI519.DOCX")</f>
      </c>
      <c r="P1517" s="6">
        <f>HYPERLINK("https://docs.wto.org/imrd/directdoc.asp?DDFDocuments/u/G/TBTN24/BDI519.DOCX", "https://docs.wto.org/imrd/directdoc.asp?DDFDocuments/u/G/TBTN24/BDI519.DOCX")</f>
      </c>
      <c r="Q1517" s="6">
        <f>HYPERLINK("https://docs.wto.org/imrd/directdoc.asp?DDFDocuments/v/G/TBTN24/BDI519.DOCX", "https://docs.wto.org/imrd/directdoc.asp?DDFDocuments/v/G/TBTN24/BDI519.DOCX")</f>
      </c>
    </row>
    <row r="1518">
      <c r="A1518" s="6" t="s">
        <v>82</v>
      </c>
      <c r="B1518" s="7">
        <v>45579</v>
      </c>
      <c r="C1518" s="9">
        <f>HYPERLINK("https://eping.wto.org/en/Search?viewData= G/SPS/N/BRA/2336"," G/SPS/N/BRA/2336")</f>
      </c>
      <c r="D1518" s="8" t="s">
        <v>339</v>
      </c>
      <c r="E1518" s="8" t="s">
        <v>4919</v>
      </c>
      <c r="F1518" s="8" t="s">
        <v>212</v>
      </c>
      <c r="G1518" s="8" t="s">
        <v>22</v>
      </c>
      <c r="H1518" s="8" t="s">
        <v>1314</v>
      </c>
      <c r="I1518" s="8" t="s">
        <v>120</v>
      </c>
      <c r="J1518" s="8" t="s">
        <v>121</v>
      </c>
      <c r="K1518" s="6"/>
      <c r="L1518" s="7">
        <v>45628</v>
      </c>
      <c r="M1518" s="6" t="s">
        <v>32</v>
      </c>
      <c r="N1518" s="8" t="s">
        <v>4920</v>
      </c>
      <c r="O1518" s="6">
        <f>HYPERLINK("https://docs.wto.org/imrd/directdoc.asp?DDFDocuments/t/G/SPS/NBRA2336.DOCX", "https://docs.wto.org/imrd/directdoc.asp?DDFDocuments/t/G/SPS/NBRA2336.DOCX")</f>
      </c>
      <c r="P1518" s="6">
        <f>HYPERLINK("https://docs.wto.org/imrd/directdoc.asp?DDFDocuments/u/G/SPS/NBRA2336.DOCX", "https://docs.wto.org/imrd/directdoc.asp?DDFDocuments/u/G/SPS/NBRA2336.DOCX")</f>
      </c>
      <c r="Q1518" s="6">
        <f>HYPERLINK("https://docs.wto.org/imrd/directdoc.asp?DDFDocuments/v/G/SPS/NBRA2336.DOCX", "https://docs.wto.org/imrd/directdoc.asp?DDFDocuments/v/G/SPS/NBRA2336.DOCX")</f>
      </c>
    </row>
    <row r="1519">
      <c r="A1519" s="6" t="s">
        <v>53</v>
      </c>
      <c r="B1519" s="7">
        <v>45579</v>
      </c>
      <c r="C1519" s="9">
        <f>HYPERLINK("https://eping.wto.org/en/Search?viewData= G/TBT/N/KEN/1689"," G/TBT/N/KEN/1689")</f>
      </c>
      <c r="D1519" s="8" t="s">
        <v>4921</v>
      </c>
      <c r="E1519" s="8" t="s">
        <v>4922</v>
      </c>
      <c r="F1519" s="8" t="s">
        <v>4923</v>
      </c>
      <c r="G1519" s="8" t="s">
        <v>22</v>
      </c>
      <c r="H1519" s="8" t="s">
        <v>4924</v>
      </c>
      <c r="I1519" s="8" t="s">
        <v>220</v>
      </c>
      <c r="J1519" s="8" t="s">
        <v>22</v>
      </c>
      <c r="K1519" s="6"/>
      <c r="L1519" s="7">
        <v>45639</v>
      </c>
      <c r="M1519" s="6" t="s">
        <v>32</v>
      </c>
      <c r="N1519" s="8" t="s">
        <v>4925</v>
      </c>
      <c r="O1519" s="6">
        <f>HYPERLINK("https://docs.wto.org/imrd/directdoc.asp?DDFDocuments/t/G/TBTN24/KEN1689.DOCX", "https://docs.wto.org/imrd/directdoc.asp?DDFDocuments/t/G/TBTN24/KEN1689.DOCX")</f>
      </c>
      <c r="P1519" s="6">
        <f>HYPERLINK("https://docs.wto.org/imrd/directdoc.asp?DDFDocuments/u/G/TBTN24/KEN1689.DOCX", "https://docs.wto.org/imrd/directdoc.asp?DDFDocuments/u/G/TBTN24/KEN1689.DOCX")</f>
      </c>
      <c r="Q1519" s="6">
        <f>HYPERLINK("https://docs.wto.org/imrd/directdoc.asp?DDFDocuments/v/G/TBTN24/KEN1689.DOCX", "https://docs.wto.org/imrd/directdoc.asp?DDFDocuments/v/G/TBTN24/KEN1689.DOCX")</f>
      </c>
    </row>
    <row r="1520">
      <c r="A1520" s="6" t="s">
        <v>82</v>
      </c>
      <c r="B1520" s="7">
        <v>45579</v>
      </c>
      <c r="C1520" s="9">
        <f>HYPERLINK("https://eping.wto.org/en/Search?viewData= G/SPS/N/BRA/2338"," G/SPS/N/BRA/2338")</f>
      </c>
      <c r="D1520" s="8" t="s">
        <v>4926</v>
      </c>
      <c r="E1520" s="8" t="s">
        <v>4927</v>
      </c>
      <c r="F1520" s="8" t="s">
        <v>4048</v>
      </c>
      <c r="G1520" s="8" t="s">
        <v>4846</v>
      </c>
      <c r="H1520" s="8" t="s">
        <v>22</v>
      </c>
      <c r="I1520" s="8" t="s">
        <v>390</v>
      </c>
      <c r="J1520" s="8" t="s">
        <v>492</v>
      </c>
      <c r="K1520" s="6" t="s">
        <v>360</v>
      </c>
      <c r="L1520" s="7">
        <v>45639</v>
      </c>
      <c r="M1520" s="6" t="s">
        <v>32</v>
      </c>
      <c r="N1520" s="8" t="s">
        <v>4928</v>
      </c>
      <c r="O1520" s="6">
        <f>HYPERLINK("https://docs.wto.org/imrd/directdoc.asp?DDFDocuments/t/G/SPS/NBRA2338.DOCX", "https://docs.wto.org/imrd/directdoc.asp?DDFDocuments/t/G/SPS/NBRA2338.DOCX")</f>
      </c>
      <c r="P1520" s="6">
        <f>HYPERLINK("https://docs.wto.org/imrd/directdoc.asp?DDFDocuments/u/G/SPS/NBRA2338.DOCX", "https://docs.wto.org/imrd/directdoc.asp?DDFDocuments/u/G/SPS/NBRA2338.DOCX")</f>
      </c>
      <c r="Q1520" s="6">
        <f>HYPERLINK("https://docs.wto.org/imrd/directdoc.asp?DDFDocuments/v/G/SPS/NBRA2338.DOCX", "https://docs.wto.org/imrd/directdoc.asp?DDFDocuments/v/G/SPS/NBRA2338.DOCX")</f>
      </c>
    </row>
    <row r="1521">
      <c r="A1521" s="6" t="s">
        <v>132</v>
      </c>
      <c r="B1521" s="7">
        <v>45579</v>
      </c>
      <c r="C1521" s="9">
        <f>HYPERLINK("https://eping.wto.org/en/Search?viewData= G/TBT/N/CAN/702/Add.1"," G/TBT/N/CAN/702/Add.1")</f>
      </c>
      <c r="D1521" s="8" t="s">
        <v>4929</v>
      </c>
      <c r="E1521" s="8" t="s">
        <v>4930</v>
      </c>
      <c r="F1521" s="8" t="s">
        <v>4931</v>
      </c>
      <c r="G1521" s="8" t="s">
        <v>4932</v>
      </c>
      <c r="H1521" s="8" t="s">
        <v>4933</v>
      </c>
      <c r="I1521" s="8" t="s">
        <v>138</v>
      </c>
      <c r="J1521" s="8" t="s">
        <v>22</v>
      </c>
      <c r="K1521" s="6"/>
      <c r="L1521" s="7" t="s">
        <v>22</v>
      </c>
      <c r="M1521" s="6" t="s">
        <v>40</v>
      </c>
      <c r="N1521" s="8" t="s">
        <v>4934</v>
      </c>
      <c r="O1521" s="6">
        <f>HYPERLINK("https://docs.wto.org/imrd/directdoc.asp?DDFDocuments/t/G/TBTN23/CAN702A1.DOCX", "https://docs.wto.org/imrd/directdoc.asp?DDFDocuments/t/G/TBTN23/CAN702A1.DOCX")</f>
      </c>
      <c r="P1521" s="6">
        <f>HYPERLINK("https://docs.wto.org/imrd/directdoc.asp?DDFDocuments/u/G/TBTN23/CAN702A1.DOCX", "https://docs.wto.org/imrd/directdoc.asp?DDFDocuments/u/G/TBTN23/CAN702A1.DOCX")</f>
      </c>
      <c r="Q1521" s="6">
        <f>HYPERLINK("https://docs.wto.org/imrd/directdoc.asp?DDFDocuments/v/G/TBTN23/CAN702A1.DOCX", "https://docs.wto.org/imrd/directdoc.asp?DDFDocuments/v/G/TBTN23/CAN702A1.DOCX")</f>
      </c>
    </row>
    <row r="1522">
      <c r="A1522" s="6" t="s">
        <v>60</v>
      </c>
      <c r="B1522" s="7">
        <v>45579</v>
      </c>
      <c r="C1522" s="9">
        <f>HYPERLINK("https://eping.wto.org/en/Search?viewData= G/TBT/N/BDI/519, G/TBT/N/KEN/1687, G/TBT/N/RWA/1085, G/TBT/N/TZA/1185, G/TBT/N/UGA/2029"," G/TBT/N/BDI/519, G/TBT/N/KEN/1687, G/TBT/N/RWA/1085, G/TBT/N/TZA/1185, G/TBT/N/UGA/2029")</f>
      </c>
      <c r="D1522" s="8" t="s">
        <v>4891</v>
      </c>
      <c r="E1522" s="8" t="s">
        <v>4892</v>
      </c>
      <c r="F1522" s="8" t="s">
        <v>4843</v>
      </c>
      <c r="G1522" s="8" t="s">
        <v>22</v>
      </c>
      <c r="H1522" s="8" t="s">
        <v>893</v>
      </c>
      <c r="I1522" s="8" t="s">
        <v>3102</v>
      </c>
      <c r="J1522" s="8" t="s">
        <v>58</v>
      </c>
      <c r="K1522" s="6"/>
      <c r="L1522" s="7">
        <v>45639</v>
      </c>
      <c r="M1522" s="6" t="s">
        <v>32</v>
      </c>
      <c r="N1522" s="8" t="s">
        <v>4893</v>
      </c>
      <c r="O1522" s="6">
        <f>HYPERLINK("https://docs.wto.org/imrd/directdoc.asp?DDFDocuments/t/G/TBTN24/BDI519.DOCX", "https://docs.wto.org/imrd/directdoc.asp?DDFDocuments/t/G/TBTN24/BDI519.DOCX")</f>
      </c>
      <c r="P1522" s="6">
        <f>HYPERLINK("https://docs.wto.org/imrd/directdoc.asp?DDFDocuments/u/G/TBTN24/BDI519.DOCX", "https://docs.wto.org/imrd/directdoc.asp?DDFDocuments/u/G/TBTN24/BDI519.DOCX")</f>
      </c>
      <c r="Q1522" s="6">
        <f>HYPERLINK("https://docs.wto.org/imrd/directdoc.asp?DDFDocuments/v/G/TBTN24/BDI519.DOCX", "https://docs.wto.org/imrd/directdoc.asp?DDFDocuments/v/G/TBTN24/BDI519.DOCX")</f>
      </c>
    </row>
    <row r="1523">
      <c r="A1523" s="6" t="s">
        <v>53</v>
      </c>
      <c r="B1523" s="7">
        <v>45579</v>
      </c>
      <c r="C1523" s="9">
        <f>HYPERLINK("https://eping.wto.org/en/Search?viewData= G/TBT/N/BDI/518, G/TBT/N/KEN/1686, G/TBT/N/RWA/1084, G/TBT/N/TZA/1184, G/TBT/N/UGA/2028"," G/TBT/N/BDI/518, G/TBT/N/KEN/1686, G/TBT/N/RWA/1084, G/TBT/N/TZA/1184, G/TBT/N/UGA/2028")</f>
      </c>
      <c r="D1523" s="8" t="s">
        <v>4841</v>
      </c>
      <c r="E1523" s="8" t="s">
        <v>4842</v>
      </c>
      <c r="F1523" s="8" t="s">
        <v>4843</v>
      </c>
      <c r="G1523" s="8" t="s">
        <v>22</v>
      </c>
      <c r="H1523" s="8" t="s">
        <v>893</v>
      </c>
      <c r="I1523" s="8" t="s">
        <v>3102</v>
      </c>
      <c r="J1523" s="8" t="s">
        <v>58</v>
      </c>
      <c r="K1523" s="6"/>
      <c r="L1523" s="7">
        <v>45639</v>
      </c>
      <c r="M1523" s="6" t="s">
        <v>32</v>
      </c>
      <c r="N1523" s="8" t="s">
        <v>4844</v>
      </c>
      <c r="O1523" s="6">
        <f>HYPERLINK("https://docs.wto.org/imrd/directdoc.asp?DDFDocuments/t/G/TBTN24/BDI518.DOCX", "https://docs.wto.org/imrd/directdoc.asp?DDFDocuments/t/G/TBTN24/BDI518.DOCX")</f>
      </c>
      <c r="P1523" s="6">
        <f>HYPERLINK("https://docs.wto.org/imrd/directdoc.asp?DDFDocuments/u/G/TBTN24/BDI518.DOCX", "https://docs.wto.org/imrd/directdoc.asp?DDFDocuments/u/G/TBTN24/BDI518.DOCX")</f>
      </c>
      <c r="Q1523" s="6">
        <f>HYPERLINK("https://docs.wto.org/imrd/directdoc.asp?DDFDocuments/v/G/TBTN24/BDI518.DOCX", "https://docs.wto.org/imrd/directdoc.asp?DDFDocuments/v/G/TBTN24/BDI518.DOCX")</f>
      </c>
    </row>
    <row r="1524">
      <c r="A1524" s="6" t="s">
        <v>26</v>
      </c>
      <c r="B1524" s="7">
        <v>45579</v>
      </c>
      <c r="C1524" s="9">
        <f>HYPERLINK("https://eping.wto.org/en/Search?viewData= G/TBT/N/BDI/518, G/TBT/N/KEN/1686, G/TBT/N/RWA/1084, G/TBT/N/TZA/1184, G/TBT/N/UGA/2028"," G/TBT/N/BDI/518, G/TBT/N/KEN/1686, G/TBT/N/RWA/1084, G/TBT/N/TZA/1184, G/TBT/N/UGA/2028")</f>
      </c>
      <c r="D1524" s="8" t="s">
        <v>4841</v>
      </c>
      <c r="E1524" s="8" t="s">
        <v>4842</v>
      </c>
      <c r="F1524" s="8" t="s">
        <v>4843</v>
      </c>
      <c r="G1524" s="8" t="s">
        <v>22</v>
      </c>
      <c r="H1524" s="8" t="s">
        <v>893</v>
      </c>
      <c r="I1524" s="8" t="s">
        <v>3102</v>
      </c>
      <c r="J1524" s="8" t="s">
        <v>58</v>
      </c>
      <c r="K1524" s="6"/>
      <c r="L1524" s="7">
        <v>45639</v>
      </c>
      <c r="M1524" s="6" t="s">
        <v>32</v>
      </c>
      <c r="N1524" s="8" t="s">
        <v>4844</v>
      </c>
      <c r="O1524" s="6">
        <f>HYPERLINK("https://docs.wto.org/imrd/directdoc.asp?DDFDocuments/t/G/TBTN24/BDI518.DOCX", "https://docs.wto.org/imrd/directdoc.asp?DDFDocuments/t/G/TBTN24/BDI518.DOCX")</f>
      </c>
      <c r="P1524" s="6">
        <f>HYPERLINK("https://docs.wto.org/imrd/directdoc.asp?DDFDocuments/u/G/TBTN24/BDI518.DOCX", "https://docs.wto.org/imrd/directdoc.asp?DDFDocuments/u/G/TBTN24/BDI518.DOCX")</f>
      </c>
      <c r="Q1524" s="6">
        <f>HYPERLINK("https://docs.wto.org/imrd/directdoc.asp?DDFDocuments/v/G/TBTN24/BDI518.DOCX", "https://docs.wto.org/imrd/directdoc.asp?DDFDocuments/v/G/TBTN24/BDI518.DOCX")</f>
      </c>
    </row>
    <row r="1525">
      <c r="A1525" s="6" t="s">
        <v>4935</v>
      </c>
      <c r="B1525" s="7">
        <v>45579</v>
      </c>
      <c r="C1525" s="9">
        <f>HYPERLINK("https://eping.wto.org/en/Search?viewData= G/TBT/N/KGZ/55"," G/TBT/N/KGZ/55")</f>
      </c>
      <c r="D1525" s="8" t="s">
        <v>194</v>
      </c>
      <c r="E1525" s="8" t="s">
        <v>4936</v>
      </c>
      <c r="F1525" s="8" t="s">
        <v>196</v>
      </c>
      <c r="G1525" s="8" t="s">
        <v>22</v>
      </c>
      <c r="H1525" s="8" t="s">
        <v>4937</v>
      </c>
      <c r="I1525" s="8" t="s">
        <v>39</v>
      </c>
      <c r="J1525" s="8" t="s">
        <v>139</v>
      </c>
      <c r="K1525" s="6"/>
      <c r="L1525" s="7">
        <v>45633</v>
      </c>
      <c r="M1525" s="6" t="s">
        <v>32</v>
      </c>
      <c r="N1525" s="8" t="s">
        <v>4938</v>
      </c>
      <c r="O1525" s="6">
        <f>HYPERLINK("https://docs.wto.org/imrd/directdoc.asp?DDFDocuments/t/G/TBTN24/KGZ55.DOCX", "https://docs.wto.org/imrd/directdoc.asp?DDFDocuments/t/G/TBTN24/KGZ55.DOCX")</f>
      </c>
      <c r="P1525" s="6">
        <f>HYPERLINK("https://docs.wto.org/imrd/directdoc.asp?DDFDocuments/u/G/TBTN24/KGZ55.DOCX", "https://docs.wto.org/imrd/directdoc.asp?DDFDocuments/u/G/TBTN24/KGZ55.DOCX")</f>
      </c>
      <c r="Q1525" s="6">
        <f>HYPERLINK("https://docs.wto.org/imrd/directdoc.asp?DDFDocuments/v/G/TBTN24/KGZ55.DOCX", "https://docs.wto.org/imrd/directdoc.asp?DDFDocuments/v/G/TBTN24/KGZ55.DOCX")</f>
      </c>
    </row>
    <row r="1526">
      <c r="A1526" s="6" t="s">
        <v>82</v>
      </c>
      <c r="B1526" s="7">
        <v>45579</v>
      </c>
      <c r="C1526" s="9">
        <f>HYPERLINK("https://eping.wto.org/en/Search?viewData= G/SPS/N/BRA/2339"," G/SPS/N/BRA/2339")</f>
      </c>
      <c r="D1526" s="8" t="s">
        <v>4939</v>
      </c>
      <c r="E1526" s="8" t="s">
        <v>4940</v>
      </c>
      <c r="F1526" s="8" t="s">
        <v>4048</v>
      </c>
      <c r="G1526" s="8" t="s">
        <v>4846</v>
      </c>
      <c r="H1526" s="8" t="s">
        <v>22</v>
      </c>
      <c r="I1526" s="8" t="s">
        <v>390</v>
      </c>
      <c r="J1526" s="8" t="s">
        <v>391</v>
      </c>
      <c r="K1526" s="6" t="s">
        <v>360</v>
      </c>
      <c r="L1526" s="7">
        <v>45639</v>
      </c>
      <c r="M1526" s="6" t="s">
        <v>32</v>
      </c>
      <c r="N1526" s="8" t="s">
        <v>4941</v>
      </c>
      <c r="O1526" s="6">
        <f>HYPERLINK("https://docs.wto.org/imrd/directdoc.asp?DDFDocuments/t/G/SPS/NBRA2339.DOCX", "https://docs.wto.org/imrd/directdoc.asp?DDFDocuments/t/G/SPS/NBRA2339.DOCX")</f>
      </c>
      <c r="P1526" s="6">
        <f>HYPERLINK("https://docs.wto.org/imrd/directdoc.asp?DDFDocuments/u/G/SPS/NBRA2339.DOCX", "https://docs.wto.org/imrd/directdoc.asp?DDFDocuments/u/G/SPS/NBRA2339.DOCX")</f>
      </c>
      <c r="Q1526" s="6">
        <f>HYPERLINK("https://docs.wto.org/imrd/directdoc.asp?DDFDocuments/v/G/SPS/NBRA2339.DOCX", "https://docs.wto.org/imrd/directdoc.asp?DDFDocuments/v/G/SPS/NBRA2339.DOCX")</f>
      </c>
    </row>
    <row r="1527">
      <c r="A1527" s="6" t="s">
        <v>82</v>
      </c>
      <c r="B1527" s="7">
        <v>45579</v>
      </c>
      <c r="C1527" s="9">
        <f>HYPERLINK("https://eping.wto.org/en/Search?viewData= G/SPS/N/BRA/2215/Add.2"," G/SPS/N/BRA/2215/Add.2")</f>
      </c>
      <c r="D1527" s="8" t="s">
        <v>4942</v>
      </c>
      <c r="E1527" s="8" t="s">
        <v>4943</v>
      </c>
      <c r="F1527" s="8" t="s">
        <v>4944</v>
      </c>
      <c r="G1527" s="8" t="s">
        <v>22</v>
      </c>
      <c r="H1527" s="8" t="s">
        <v>22</v>
      </c>
      <c r="I1527" s="8" t="s">
        <v>348</v>
      </c>
      <c r="J1527" s="8" t="s">
        <v>4945</v>
      </c>
      <c r="K1527" s="6"/>
      <c r="L1527" s="7" t="s">
        <v>22</v>
      </c>
      <c r="M1527" s="6" t="s">
        <v>40</v>
      </c>
      <c r="N1527" s="8" t="s">
        <v>4946</v>
      </c>
      <c r="O1527" s="6">
        <f>HYPERLINK("https://docs.wto.org/imrd/directdoc.asp?DDFDocuments/t/G/SPS/NBRA2215A2.DOCX", "https://docs.wto.org/imrd/directdoc.asp?DDFDocuments/t/G/SPS/NBRA2215A2.DOCX")</f>
      </c>
      <c r="P1527" s="6">
        <f>HYPERLINK("https://docs.wto.org/imrd/directdoc.asp?DDFDocuments/u/G/SPS/NBRA2215A2.DOCX", "https://docs.wto.org/imrd/directdoc.asp?DDFDocuments/u/G/SPS/NBRA2215A2.DOCX")</f>
      </c>
      <c r="Q1527" s="6">
        <f>HYPERLINK("https://docs.wto.org/imrd/directdoc.asp?DDFDocuments/v/G/SPS/NBRA2215A2.DOCX", "https://docs.wto.org/imrd/directdoc.asp?DDFDocuments/v/G/SPS/NBRA2215A2.DOCX")</f>
      </c>
    </row>
    <row r="1528">
      <c r="A1528" s="6" t="s">
        <v>132</v>
      </c>
      <c r="B1528" s="7">
        <v>45579</v>
      </c>
      <c r="C1528" s="9">
        <f>HYPERLINK("https://eping.wto.org/en/Search?viewData= G/SPS/N/CAN/1563/Add.1"," G/SPS/N/CAN/1563/Add.1")</f>
      </c>
      <c r="D1528" s="8" t="s">
        <v>4947</v>
      </c>
      <c r="E1528" s="8" t="s">
        <v>4948</v>
      </c>
      <c r="F1528" s="8" t="s">
        <v>4949</v>
      </c>
      <c r="G1528" s="8" t="s">
        <v>22</v>
      </c>
      <c r="H1528" s="8" t="s">
        <v>1569</v>
      </c>
      <c r="I1528" s="8" t="s">
        <v>120</v>
      </c>
      <c r="J1528" s="8" t="s">
        <v>1560</v>
      </c>
      <c r="K1528" s="6"/>
      <c r="L1528" s="7" t="s">
        <v>22</v>
      </c>
      <c r="M1528" s="6" t="s">
        <v>40</v>
      </c>
      <c r="N1528" s="6"/>
      <c r="O1528" s="6">
        <f>HYPERLINK("https://docs.wto.org/imrd/directdoc.asp?DDFDocuments/t/G/SPS/NCAN1563A1.DOCX", "https://docs.wto.org/imrd/directdoc.asp?DDFDocuments/t/G/SPS/NCAN1563A1.DOCX")</f>
      </c>
      <c r="P1528" s="6">
        <f>HYPERLINK("https://docs.wto.org/imrd/directdoc.asp?DDFDocuments/u/G/SPS/NCAN1563A1.DOCX", "https://docs.wto.org/imrd/directdoc.asp?DDFDocuments/u/G/SPS/NCAN1563A1.DOCX")</f>
      </c>
      <c r="Q1528" s="6">
        <f>HYPERLINK("https://docs.wto.org/imrd/directdoc.asp?DDFDocuments/v/G/SPS/NCAN1563A1.DOCX", "https://docs.wto.org/imrd/directdoc.asp?DDFDocuments/v/G/SPS/NCAN1563A1.DOCX")</f>
      </c>
    </row>
    <row r="1529">
      <c r="A1529" s="6" t="s">
        <v>53</v>
      </c>
      <c r="B1529" s="7">
        <v>45579</v>
      </c>
      <c r="C1529" s="9">
        <f>HYPERLINK("https://eping.wto.org/en/Search?viewData= G/TBT/N/KEN/1684"," G/TBT/N/KEN/1684")</f>
      </c>
      <c r="D1529" s="8" t="s">
        <v>4950</v>
      </c>
      <c r="E1529" s="8" t="s">
        <v>4951</v>
      </c>
      <c r="F1529" s="8" t="s">
        <v>4923</v>
      </c>
      <c r="G1529" s="8" t="s">
        <v>22</v>
      </c>
      <c r="H1529" s="8" t="s">
        <v>4924</v>
      </c>
      <c r="I1529" s="8" t="s">
        <v>220</v>
      </c>
      <c r="J1529" s="8" t="s">
        <v>22</v>
      </c>
      <c r="K1529" s="6"/>
      <c r="L1529" s="7">
        <v>45639</v>
      </c>
      <c r="M1529" s="6" t="s">
        <v>32</v>
      </c>
      <c r="N1529" s="8" t="s">
        <v>4952</v>
      </c>
      <c r="O1529" s="6">
        <f>HYPERLINK("https://docs.wto.org/imrd/directdoc.asp?DDFDocuments/t/G/TBTN24/KEN1684.DOCX", "https://docs.wto.org/imrd/directdoc.asp?DDFDocuments/t/G/TBTN24/KEN1684.DOCX")</f>
      </c>
      <c r="P1529" s="6">
        <f>HYPERLINK("https://docs.wto.org/imrd/directdoc.asp?DDFDocuments/u/G/TBTN24/KEN1684.DOCX", "https://docs.wto.org/imrd/directdoc.asp?DDFDocuments/u/G/TBTN24/KEN1684.DOCX")</f>
      </c>
      <c r="Q1529" s="6">
        <f>HYPERLINK("https://docs.wto.org/imrd/directdoc.asp?DDFDocuments/v/G/TBTN24/KEN1684.DOCX", "https://docs.wto.org/imrd/directdoc.asp?DDFDocuments/v/G/TBTN24/KEN1684.DOCX")</f>
      </c>
    </row>
    <row r="1530">
      <c r="A1530" s="6" t="s">
        <v>132</v>
      </c>
      <c r="B1530" s="7">
        <v>45579</v>
      </c>
      <c r="C1530" s="9">
        <f>HYPERLINK("https://eping.wto.org/en/Search?viewData= G/SPS/N/CAN/1577"," G/SPS/N/CAN/1577")</f>
      </c>
      <c r="D1530" s="8" t="s">
        <v>4953</v>
      </c>
      <c r="E1530" s="8" t="s">
        <v>4954</v>
      </c>
      <c r="F1530" s="8" t="s">
        <v>4955</v>
      </c>
      <c r="G1530" s="8" t="s">
        <v>4956</v>
      </c>
      <c r="H1530" s="8" t="s">
        <v>4957</v>
      </c>
      <c r="I1530" s="8" t="s">
        <v>120</v>
      </c>
      <c r="J1530" s="8" t="s">
        <v>121</v>
      </c>
      <c r="K1530" s="6" t="s">
        <v>22</v>
      </c>
      <c r="L1530" s="7">
        <v>45650</v>
      </c>
      <c r="M1530" s="6" t="s">
        <v>32</v>
      </c>
      <c r="N1530" s="6"/>
      <c r="O1530" s="6">
        <f>HYPERLINK("https://docs.wto.org/imrd/directdoc.asp?DDFDocuments/t/G/SPS/NCAN1577.DOCX", "https://docs.wto.org/imrd/directdoc.asp?DDFDocuments/t/G/SPS/NCAN1577.DOCX")</f>
      </c>
      <c r="P1530" s="6">
        <f>HYPERLINK("https://docs.wto.org/imrd/directdoc.asp?DDFDocuments/u/G/SPS/NCAN1577.DOCX", "https://docs.wto.org/imrd/directdoc.asp?DDFDocuments/u/G/SPS/NCAN1577.DOCX")</f>
      </c>
      <c r="Q1530" s="6">
        <f>HYPERLINK("https://docs.wto.org/imrd/directdoc.asp?DDFDocuments/v/G/SPS/NCAN1577.DOCX", "https://docs.wto.org/imrd/directdoc.asp?DDFDocuments/v/G/SPS/NCAN1577.DOCX")</f>
      </c>
    </row>
    <row r="1531">
      <c r="A1531" s="6" t="s">
        <v>1890</v>
      </c>
      <c r="B1531" s="7">
        <v>45579</v>
      </c>
      <c r="C1531" s="9">
        <f>HYPERLINK("https://eping.wto.org/en/Search?viewData= G/SPS/N/RUS/295"," G/SPS/N/RUS/295")</f>
      </c>
      <c r="D1531" s="8" t="s">
        <v>4958</v>
      </c>
      <c r="E1531" s="8" t="s">
        <v>4959</v>
      </c>
      <c r="F1531" s="8" t="s">
        <v>4960</v>
      </c>
      <c r="G1531" s="8" t="s">
        <v>22</v>
      </c>
      <c r="H1531" s="8" t="s">
        <v>22</v>
      </c>
      <c r="I1531" s="8" t="s">
        <v>128</v>
      </c>
      <c r="J1531" s="8" t="s">
        <v>1262</v>
      </c>
      <c r="K1531" s="6" t="s">
        <v>22</v>
      </c>
      <c r="L1531" s="7">
        <v>45628</v>
      </c>
      <c r="M1531" s="6" t="s">
        <v>32</v>
      </c>
      <c r="N1531" s="8" t="s">
        <v>4961</v>
      </c>
      <c r="O1531" s="6">
        <f>HYPERLINK("https://docs.wto.org/imrd/directdoc.asp?DDFDocuments/t/G/SPS/NRUS295.DOCX", "https://docs.wto.org/imrd/directdoc.asp?DDFDocuments/t/G/SPS/NRUS295.DOCX")</f>
      </c>
      <c r="P1531" s="6">
        <f>HYPERLINK("https://docs.wto.org/imrd/directdoc.asp?DDFDocuments/u/G/SPS/NRUS295.DOCX", "https://docs.wto.org/imrd/directdoc.asp?DDFDocuments/u/G/SPS/NRUS295.DOCX")</f>
      </c>
      <c r="Q1531" s="6">
        <f>HYPERLINK("https://docs.wto.org/imrd/directdoc.asp?DDFDocuments/v/G/SPS/NRUS295.DOCX", "https://docs.wto.org/imrd/directdoc.asp?DDFDocuments/v/G/SPS/NRUS295.DOCX")</f>
      </c>
    </row>
    <row r="1532">
      <c r="A1532" s="6" t="s">
        <v>82</v>
      </c>
      <c r="B1532" s="7">
        <v>45579</v>
      </c>
      <c r="C1532" s="9">
        <f>HYPERLINK("https://eping.wto.org/en/Search?viewData= G/SPS/N/BRA/2347"," G/SPS/N/BRA/2347")</f>
      </c>
      <c r="D1532" s="8" t="s">
        <v>4962</v>
      </c>
      <c r="E1532" s="8" t="s">
        <v>4963</v>
      </c>
      <c r="F1532" s="8" t="s">
        <v>4869</v>
      </c>
      <c r="G1532" s="8" t="s">
        <v>22</v>
      </c>
      <c r="H1532" s="8" t="s">
        <v>22</v>
      </c>
      <c r="I1532" s="8" t="s">
        <v>390</v>
      </c>
      <c r="J1532" s="8" t="s">
        <v>391</v>
      </c>
      <c r="K1532" s="6" t="s">
        <v>360</v>
      </c>
      <c r="L1532" s="7">
        <v>45639</v>
      </c>
      <c r="M1532" s="6" t="s">
        <v>32</v>
      </c>
      <c r="N1532" s="8" t="s">
        <v>4964</v>
      </c>
      <c r="O1532" s="6">
        <f>HYPERLINK("https://docs.wto.org/imrd/directdoc.asp?DDFDocuments/t/G/SPS/NBRA2347.DOCX", "https://docs.wto.org/imrd/directdoc.asp?DDFDocuments/t/G/SPS/NBRA2347.DOCX")</f>
      </c>
      <c r="P1532" s="6">
        <f>HYPERLINK("https://docs.wto.org/imrd/directdoc.asp?DDFDocuments/u/G/SPS/NBRA2347.DOCX", "https://docs.wto.org/imrd/directdoc.asp?DDFDocuments/u/G/SPS/NBRA2347.DOCX")</f>
      </c>
      <c r="Q1532" s="6">
        <f>HYPERLINK("https://docs.wto.org/imrd/directdoc.asp?DDFDocuments/v/G/SPS/NBRA2347.DOCX", "https://docs.wto.org/imrd/directdoc.asp?DDFDocuments/v/G/SPS/NBRA2347.DOCX")</f>
      </c>
    </row>
    <row r="1533">
      <c r="A1533" s="6" t="s">
        <v>53</v>
      </c>
      <c r="B1533" s="7">
        <v>45579</v>
      </c>
      <c r="C1533" s="9">
        <f>HYPERLINK("https://eping.wto.org/en/Search?viewData= G/TBT/N/BDI/517, G/TBT/N/KEN/1685, G/TBT/N/RWA/1083, G/TBT/N/TZA/1183, G/TBT/N/UGA/2027"," G/TBT/N/BDI/517, G/TBT/N/KEN/1685, G/TBT/N/RWA/1083, G/TBT/N/TZA/1183, G/TBT/N/UGA/2027")</f>
      </c>
      <c r="D1533" s="8" t="s">
        <v>4854</v>
      </c>
      <c r="E1533" s="8" t="s">
        <v>4855</v>
      </c>
      <c r="F1533" s="8" t="s">
        <v>4843</v>
      </c>
      <c r="G1533" s="8" t="s">
        <v>4856</v>
      </c>
      <c r="H1533" s="8" t="s">
        <v>893</v>
      </c>
      <c r="I1533" s="8" t="s">
        <v>3102</v>
      </c>
      <c r="J1533" s="8" t="s">
        <v>58</v>
      </c>
      <c r="K1533" s="6"/>
      <c r="L1533" s="7">
        <v>45639</v>
      </c>
      <c r="M1533" s="6" t="s">
        <v>32</v>
      </c>
      <c r="N1533" s="8" t="s">
        <v>4857</v>
      </c>
      <c r="O1533" s="6">
        <f>HYPERLINK("https://docs.wto.org/imrd/directdoc.asp?DDFDocuments/t/G/TBTN24/BDI517.DOCX", "https://docs.wto.org/imrd/directdoc.asp?DDFDocuments/t/G/TBTN24/BDI517.DOCX")</f>
      </c>
      <c r="P1533" s="6">
        <f>HYPERLINK("https://docs.wto.org/imrd/directdoc.asp?DDFDocuments/u/G/TBTN24/BDI517.DOCX", "https://docs.wto.org/imrd/directdoc.asp?DDFDocuments/u/G/TBTN24/BDI517.DOCX")</f>
      </c>
      <c r="Q1533" s="6">
        <f>HYPERLINK("https://docs.wto.org/imrd/directdoc.asp?DDFDocuments/v/G/TBTN24/BDI517.DOCX", "https://docs.wto.org/imrd/directdoc.asp?DDFDocuments/v/G/TBTN24/BDI517.DOCX")</f>
      </c>
    </row>
    <row r="1534">
      <c r="A1534" s="6" t="s">
        <v>82</v>
      </c>
      <c r="B1534" s="7">
        <v>45579</v>
      </c>
      <c r="C1534" s="9">
        <f>HYPERLINK("https://eping.wto.org/en/Search?viewData= G/SPS/N/BRA/2340"," G/SPS/N/BRA/2340")</f>
      </c>
      <c r="D1534" s="8" t="s">
        <v>4965</v>
      </c>
      <c r="E1534" s="8" t="s">
        <v>4966</v>
      </c>
      <c r="F1534" s="8" t="s">
        <v>4869</v>
      </c>
      <c r="G1534" s="8" t="s">
        <v>22</v>
      </c>
      <c r="H1534" s="8" t="s">
        <v>22</v>
      </c>
      <c r="I1534" s="8" t="s">
        <v>390</v>
      </c>
      <c r="J1534" s="8" t="s">
        <v>1338</v>
      </c>
      <c r="K1534" s="6" t="s">
        <v>2765</v>
      </c>
      <c r="L1534" s="7">
        <v>45639</v>
      </c>
      <c r="M1534" s="6" t="s">
        <v>32</v>
      </c>
      <c r="N1534" s="8" t="s">
        <v>4967</v>
      </c>
      <c r="O1534" s="6">
        <f>HYPERLINK("https://docs.wto.org/imrd/directdoc.asp?DDFDocuments/t/G/SPS/NBRA2340.DOCX", "https://docs.wto.org/imrd/directdoc.asp?DDFDocuments/t/G/SPS/NBRA2340.DOCX")</f>
      </c>
      <c r="P1534" s="6">
        <f>HYPERLINK("https://docs.wto.org/imrd/directdoc.asp?DDFDocuments/u/G/SPS/NBRA2340.DOCX", "https://docs.wto.org/imrd/directdoc.asp?DDFDocuments/u/G/SPS/NBRA2340.DOCX")</f>
      </c>
      <c r="Q1534" s="6">
        <f>HYPERLINK("https://docs.wto.org/imrd/directdoc.asp?DDFDocuments/v/G/SPS/NBRA2340.DOCX", "https://docs.wto.org/imrd/directdoc.asp?DDFDocuments/v/G/SPS/NBRA2340.DOCX")</f>
      </c>
    </row>
    <row r="1535">
      <c r="A1535" s="6" t="s">
        <v>68</v>
      </c>
      <c r="B1535" s="7">
        <v>45579</v>
      </c>
      <c r="C1535" s="9">
        <f>HYPERLINK("https://eping.wto.org/en/Search?viewData= G/TBT/N/BDI/518, G/TBT/N/KEN/1686, G/TBT/N/RWA/1084, G/TBT/N/TZA/1184, G/TBT/N/UGA/2028"," G/TBT/N/BDI/518, G/TBT/N/KEN/1686, G/TBT/N/RWA/1084, G/TBT/N/TZA/1184, G/TBT/N/UGA/2028")</f>
      </c>
      <c r="D1535" s="8" t="s">
        <v>4841</v>
      </c>
      <c r="E1535" s="8" t="s">
        <v>4842</v>
      </c>
      <c r="F1535" s="8" t="s">
        <v>4843</v>
      </c>
      <c r="G1535" s="8" t="s">
        <v>4880</v>
      </c>
      <c r="H1535" s="8" t="s">
        <v>893</v>
      </c>
      <c r="I1535" s="8" t="s">
        <v>3102</v>
      </c>
      <c r="J1535" s="8" t="s">
        <v>58</v>
      </c>
      <c r="K1535" s="6"/>
      <c r="L1535" s="7">
        <v>45639</v>
      </c>
      <c r="M1535" s="6" t="s">
        <v>32</v>
      </c>
      <c r="N1535" s="8" t="s">
        <v>4844</v>
      </c>
      <c r="O1535" s="6">
        <f>HYPERLINK("https://docs.wto.org/imrd/directdoc.asp?DDFDocuments/t/G/TBTN24/BDI518.DOCX", "https://docs.wto.org/imrd/directdoc.asp?DDFDocuments/t/G/TBTN24/BDI518.DOCX")</f>
      </c>
      <c r="P1535" s="6">
        <f>HYPERLINK("https://docs.wto.org/imrd/directdoc.asp?DDFDocuments/u/G/TBTN24/BDI518.DOCX", "https://docs.wto.org/imrd/directdoc.asp?DDFDocuments/u/G/TBTN24/BDI518.DOCX")</f>
      </c>
      <c r="Q1535" s="6">
        <f>HYPERLINK("https://docs.wto.org/imrd/directdoc.asp?DDFDocuments/v/G/TBTN24/BDI518.DOCX", "https://docs.wto.org/imrd/directdoc.asp?DDFDocuments/v/G/TBTN24/BDI518.DOCX")</f>
      </c>
    </row>
    <row r="1536">
      <c r="A1536" s="6" t="s">
        <v>847</v>
      </c>
      <c r="B1536" s="7">
        <v>45579</v>
      </c>
      <c r="C1536" s="9">
        <f>HYPERLINK("https://eping.wto.org/en/Search?viewData= G/TBT/N/UKR/186/Rev.1/Add.1"," G/TBT/N/UKR/186/Rev.1/Add.1")</f>
      </c>
      <c r="D1536" s="8" t="s">
        <v>4861</v>
      </c>
      <c r="E1536" s="8" t="s">
        <v>4968</v>
      </c>
      <c r="F1536" s="8" t="s">
        <v>4969</v>
      </c>
      <c r="G1536" s="8" t="s">
        <v>22</v>
      </c>
      <c r="H1536" s="8" t="s">
        <v>4564</v>
      </c>
      <c r="I1536" s="8" t="s">
        <v>760</v>
      </c>
      <c r="J1536" s="8" t="s">
        <v>81</v>
      </c>
      <c r="K1536" s="6"/>
      <c r="L1536" s="7" t="s">
        <v>22</v>
      </c>
      <c r="M1536" s="6" t="s">
        <v>40</v>
      </c>
      <c r="N1536" s="8" t="s">
        <v>4970</v>
      </c>
      <c r="O1536" s="6">
        <f>HYPERLINK("https://docs.wto.org/imrd/directdoc.asp?DDFDocuments/t/G/TBTN21/UKR186R1A1.DOCX", "https://docs.wto.org/imrd/directdoc.asp?DDFDocuments/t/G/TBTN21/UKR186R1A1.DOCX")</f>
      </c>
      <c r="P1536" s="6">
        <f>HYPERLINK("https://docs.wto.org/imrd/directdoc.asp?DDFDocuments/u/G/TBTN21/UKR186R1A1.DOCX", "https://docs.wto.org/imrd/directdoc.asp?DDFDocuments/u/G/TBTN21/UKR186R1A1.DOCX")</f>
      </c>
      <c r="Q1536" s="6">
        <f>HYPERLINK("https://docs.wto.org/imrd/directdoc.asp?DDFDocuments/v/G/TBTN21/UKR186R1A1.DOCX", "https://docs.wto.org/imrd/directdoc.asp?DDFDocuments/v/G/TBTN21/UKR186R1A1.DOCX")</f>
      </c>
    </row>
    <row r="1537">
      <c r="A1537" s="6" t="s">
        <v>82</v>
      </c>
      <c r="B1537" s="7">
        <v>45579</v>
      </c>
      <c r="C1537" s="9">
        <f>HYPERLINK("https://eping.wto.org/en/Search?viewData= G/SPS/N/BRA/2256/Add.2"," G/SPS/N/BRA/2256/Add.2")</f>
      </c>
      <c r="D1537" s="8" t="s">
        <v>4971</v>
      </c>
      <c r="E1537" s="8" t="s">
        <v>4972</v>
      </c>
      <c r="F1537" s="8" t="s">
        <v>4973</v>
      </c>
      <c r="G1537" s="8" t="s">
        <v>22</v>
      </c>
      <c r="H1537" s="8" t="s">
        <v>22</v>
      </c>
      <c r="I1537" s="8" t="s">
        <v>128</v>
      </c>
      <c r="J1537" s="8" t="s">
        <v>4974</v>
      </c>
      <c r="K1537" s="6"/>
      <c r="L1537" s="7" t="s">
        <v>22</v>
      </c>
      <c r="M1537" s="6" t="s">
        <v>40</v>
      </c>
      <c r="N1537" s="8" t="s">
        <v>4975</v>
      </c>
      <c r="O1537" s="6">
        <f>HYPERLINK("https://docs.wto.org/imrd/directdoc.asp?DDFDocuments/t/G/SPS/NBRA2256A2.DOCX", "https://docs.wto.org/imrd/directdoc.asp?DDFDocuments/t/G/SPS/NBRA2256A2.DOCX")</f>
      </c>
      <c r="P1537" s="6">
        <f>HYPERLINK("https://docs.wto.org/imrd/directdoc.asp?DDFDocuments/u/G/SPS/NBRA2256A2.DOCX", "https://docs.wto.org/imrd/directdoc.asp?DDFDocuments/u/G/SPS/NBRA2256A2.DOCX")</f>
      </c>
      <c r="Q1537" s="6">
        <f>HYPERLINK("https://docs.wto.org/imrd/directdoc.asp?DDFDocuments/v/G/SPS/NBRA2256A2.DOCX", "https://docs.wto.org/imrd/directdoc.asp?DDFDocuments/v/G/SPS/NBRA2256A2.DOCX")</f>
      </c>
    </row>
    <row r="1538">
      <c r="A1538" s="6" t="s">
        <v>82</v>
      </c>
      <c r="B1538" s="7">
        <v>45579</v>
      </c>
      <c r="C1538" s="9">
        <f>HYPERLINK("https://eping.wto.org/en/Search?viewData= G/SPS/N/BRA/2335"," G/SPS/N/BRA/2335")</f>
      </c>
      <c r="D1538" s="8" t="s">
        <v>4976</v>
      </c>
      <c r="E1538" s="8" t="s">
        <v>4977</v>
      </c>
      <c r="F1538" s="8" t="s">
        <v>4838</v>
      </c>
      <c r="G1538" s="8" t="s">
        <v>22</v>
      </c>
      <c r="H1538" s="8" t="s">
        <v>4839</v>
      </c>
      <c r="I1538" s="8" t="s">
        <v>120</v>
      </c>
      <c r="J1538" s="8" t="s">
        <v>121</v>
      </c>
      <c r="K1538" s="6"/>
      <c r="L1538" s="7">
        <v>45624</v>
      </c>
      <c r="M1538" s="6" t="s">
        <v>32</v>
      </c>
      <c r="N1538" s="8" t="s">
        <v>4978</v>
      </c>
      <c r="O1538" s="6">
        <f>HYPERLINK("https://docs.wto.org/imrd/directdoc.asp?DDFDocuments/t/G/SPS/NBRA2335.DOCX", "https://docs.wto.org/imrd/directdoc.asp?DDFDocuments/t/G/SPS/NBRA2335.DOCX")</f>
      </c>
      <c r="P1538" s="6">
        <f>HYPERLINK("https://docs.wto.org/imrd/directdoc.asp?DDFDocuments/u/G/SPS/NBRA2335.DOCX", "https://docs.wto.org/imrd/directdoc.asp?DDFDocuments/u/G/SPS/NBRA2335.DOCX")</f>
      </c>
      <c r="Q1538" s="6">
        <f>HYPERLINK("https://docs.wto.org/imrd/directdoc.asp?DDFDocuments/v/G/SPS/NBRA2335.DOCX", "https://docs.wto.org/imrd/directdoc.asp?DDFDocuments/v/G/SPS/NBRA2335.DOCX")</f>
      </c>
    </row>
    <row r="1539">
      <c r="A1539" s="6" t="s">
        <v>123</v>
      </c>
      <c r="B1539" s="7">
        <v>45579</v>
      </c>
      <c r="C1539" s="9">
        <f>HYPERLINK("https://eping.wto.org/en/Search?viewData= G/TBT/N/ECU/513/Add.2"," G/TBT/N/ECU/513/Add.2")</f>
      </c>
      <c r="D1539" s="8" t="s">
        <v>4979</v>
      </c>
      <c r="E1539" s="8" t="s">
        <v>4980</v>
      </c>
      <c r="F1539" s="8" t="s">
        <v>4981</v>
      </c>
      <c r="G1539" s="8" t="s">
        <v>22</v>
      </c>
      <c r="H1539" s="8" t="s">
        <v>264</v>
      </c>
      <c r="I1539" s="8" t="s">
        <v>265</v>
      </c>
      <c r="J1539" s="8" t="s">
        <v>266</v>
      </c>
      <c r="K1539" s="6"/>
      <c r="L1539" s="7" t="s">
        <v>22</v>
      </c>
      <c r="M1539" s="6" t="s">
        <v>40</v>
      </c>
      <c r="N1539" s="8" t="s">
        <v>4982</v>
      </c>
      <c r="O1539" s="6">
        <f>HYPERLINK("https://docs.wto.org/imrd/directdoc.asp?DDFDocuments/t/G/TBTN22/ECU513A2.DOCX", "https://docs.wto.org/imrd/directdoc.asp?DDFDocuments/t/G/TBTN22/ECU513A2.DOCX")</f>
      </c>
      <c r="P1539" s="6">
        <f>HYPERLINK("https://docs.wto.org/imrd/directdoc.asp?DDFDocuments/u/G/TBTN22/ECU513A2.DOCX", "https://docs.wto.org/imrd/directdoc.asp?DDFDocuments/u/G/TBTN22/ECU513A2.DOCX")</f>
      </c>
      <c r="Q1539" s="6">
        <f>HYPERLINK("https://docs.wto.org/imrd/directdoc.asp?DDFDocuments/v/G/TBTN22/ECU513A2.DOCX", "https://docs.wto.org/imrd/directdoc.asp?DDFDocuments/v/G/TBTN22/ECU513A2.DOCX")</f>
      </c>
    </row>
    <row r="1540">
      <c r="A1540" s="6" t="s">
        <v>26</v>
      </c>
      <c r="B1540" s="7">
        <v>45576</v>
      </c>
      <c r="C1540" s="9">
        <f>HYPERLINK("https://eping.wto.org/en/Search?viewData= G/TBT/N/BDI/516, G/TBT/N/KEN/1683, G/TBT/N/RWA/1082, G/TBT/N/TZA/1182, G/TBT/N/UGA/2026"," G/TBT/N/BDI/516, G/TBT/N/KEN/1683, G/TBT/N/RWA/1082, G/TBT/N/TZA/1182, G/TBT/N/UGA/2026")</f>
      </c>
      <c r="D1540" s="8" t="s">
        <v>4983</v>
      </c>
      <c r="E1540" s="8" t="s">
        <v>4984</v>
      </c>
      <c r="F1540" s="8" t="s">
        <v>4985</v>
      </c>
      <c r="G1540" s="8" t="s">
        <v>4986</v>
      </c>
      <c r="H1540" s="8" t="s">
        <v>4987</v>
      </c>
      <c r="I1540" s="8" t="s">
        <v>31</v>
      </c>
      <c r="J1540" s="8" t="s">
        <v>58</v>
      </c>
      <c r="K1540" s="6"/>
      <c r="L1540" s="7">
        <v>45636</v>
      </c>
      <c r="M1540" s="6" t="s">
        <v>32</v>
      </c>
      <c r="N1540" s="8" t="s">
        <v>4988</v>
      </c>
      <c r="O1540" s="6">
        <f>HYPERLINK("https://docs.wto.org/imrd/directdoc.asp?DDFDocuments/t/G/TBTN24/BDI516.DOCX", "https://docs.wto.org/imrd/directdoc.asp?DDFDocuments/t/G/TBTN24/BDI516.DOCX")</f>
      </c>
      <c r="P1540" s="6">
        <f>HYPERLINK("https://docs.wto.org/imrd/directdoc.asp?DDFDocuments/u/G/TBTN24/BDI516.DOCX", "https://docs.wto.org/imrd/directdoc.asp?DDFDocuments/u/G/TBTN24/BDI516.DOCX")</f>
      </c>
      <c r="Q1540" s="6">
        <f>HYPERLINK("https://docs.wto.org/imrd/directdoc.asp?DDFDocuments/v/G/TBTN24/BDI516.DOCX", "https://docs.wto.org/imrd/directdoc.asp?DDFDocuments/v/G/TBTN24/BDI516.DOCX")</f>
      </c>
    </row>
    <row r="1541">
      <c r="A1541" s="6" t="s">
        <v>53</v>
      </c>
      <c r="B1541" s="7">
        <v>45576</v>
      </c>
      <c r="C1541" s="9">
        <f>HYPERLINK("https://eping.wto.org/en/Search?viewData= G/TBT/N/BDI/516, G/TBT/N/KEN/1683, G/TBT/N/RWA/1082, G/TBT/N/TZA/1182, G/TBT/N/UGA/2026"," G/TBT/N/BDI/516, G/TBT/N/KEN/1683, G/TBT/N/RWA/1082, G/TBT/N/TZA/1182, G/TBT/N/UGA/2026")</f>
      </c>
      <c r="D1541" s="8" t="s">
        <v>4983</v>
      </c>
      <c r="E1541" s="8" t="s">
        <v>4984</v>
      </c>
      <c r="F1541" s="8" t="s">
        <v>4985</v>
      </c>
      <c r="G1541" s="8" t="s">
        <v>4986</v>
      </c>
      <c r="H1541" s="8" t="s">
        <v>4987</v>
      </c>
      <c r="I1541" s="8" t="s">
        <v>31</v>
      </c>
      <c r="J1541" s="8" t="s">
        <v>58</v>
      </c>
      <c r="K1541" s="6"/>
      <c r="L1541" s="7">
        <v>45636</v>
      </c>
      <c r="M1541" s="6" t="s">
        <v>32</v>
      </c>
      <c r="N1541" s="8" t="s">
        <v>4988</v>
      </c>
      <c r="O1541" s="6">
        <f>HYPERLINK("https://docs.wto.org/imrd/directdoc.asp?DDFDocuments/t/G/TBTN24/BDI516.DOCX", "https://docs.wto.org/imrd/directdoc.asp?DDFDocuments/t/G/TBTN24/BDI516.DOCX")</f>
      </c>
      <c r="P1541" s="6">
        <f>HYPERLINK("https://docs.wto.org/imrd/directdoc.asp?DDFDocuments/u/G/TBTN24/BDI516.DOCX", "https://docs.wto.org/imrd/directdoc.asp?DDFDocuments/u/G/TBTN24/BDI516.DOCX")</f>
      </c>
      <c r="Q1541" s="6">
        <f>HYPERLINK("https://docs.wto.org/imrd/directdoc.asp?DDFDocuments/v/G/TBTN24/BDI516.DOCX", "https://docs.wto.org/imrd/directdoc.asp?DDFDocuments/v/G/TBTN24/BDI516.DOCX")</f>
      </c>
    </row>
    <row r="1542">
      <c r="A1542" s="6" t="s">
        <v>68</v>
      </c>
      <c r="B1542" s="7">
        <v>45576</v>
      </c>
      <c r="C1542" s="9">
        <f>HYPERLINK("https://eping.wto.org/en/Search?viewData= G/TBT/N/BDI/516, G/TBT/N/KEN/1683, G/TBT/N/RWA/1082, G/TBT/N/TZA/1182, G/TBT/N/UGA/2026"," G/TBT/N/BDI/516, G/TBT/N/KEN/1683, G/TBT/N/RWA/1082, G/TBT/N/TZA/1182, G/TBT/N/UGA/2026")</f>
      </c>
      <c r="D1542" s="8" t="s">
        <v>4983</v>
      </c>
      <c r="E1542" s="8" t="s">
        <v>4984</v>
      </c>
      <c r="F1542" s="8" t="s">
        <v>4985</v>
      </c>
      <c r="G1542" s="8" t="s">
        <v>4986</v>
      </c>
      <c r="H1542" s="8" t="s">
        <v>4987</v>
      </c>
      <c r="I1542" s="8" t="s">
        <v>31</v>
      </c>
      <c r="J1542" s="8" t="s">
        <v>58</v>
      </c>
      <c r="K1542" s="6"/>
      <c r="L1542" s="7">
        <v>45636</v>
      </c>
      <c r="M1542" s="6" t="s">
        <v>32</v>
      </c>
      <c r="N1542" s="8" t="s">
        <v>4988</v>
      </c>
      <c r="O1542" s="6">
        <f>HYPERLINK("https://docs.wto.org/imrd/directdoc.asp?DDFDocuments/t/G/TBTN24/BDI516.DOCX", "https://docs.wto.org/imrd/directdoc.asp?DDFDocuments/t/G/TBTN24/BDI516.DOCX")</f>
      </c>
      <c r="P1542" s="6">
        <f>HYPERLINK("https://docs.wto.org/imrd/directdoc.asp?DDFDocuments/u/G/TBTN24/BDI516.DOCX", "https://docs.wto.org/imrd/directdoc.asp?DDFDocuments/u/G/TBTN24/BDI516.DOCX")</f>
      </c>
      <c r="Q1542" s="6">
        <f>HYPERLINK("https://docs.wto.org/imrd/directdoc.asp?DDFDocuments/v/G/TBTN24/BDI516.DOCX", "https://docs.wto.org/imrd/directdoc.asp?DDFDocuments/v/G/TBTN24/BDI516.DOCX")</f>
      </c>
    </row>
    <row r="1543">
      <c r="A1543" s="6" t="s">
        <v>49</v>
      </c>
      <c r="B1543" s="7">
        <v>45576</v>
      </c>
      <c r="C1543" s="9">
        <f>HYPERLINK("https://eping.wto.org/en/Search?viewData= G/TBT/N/BDI/516, G/TBT/N/KEN/1683, G/TBT/N/RWA/1082, G/TBT/N/TZA/1182, G/TBT/N/UGA/2026"," G/TBT/N/BDI/516, G/TBT/N/KEN/1683, G/TBT/N/RWA/1082, G/TBT/N/TZA/1182, G/TBT/N/UGA/2026")</f>
      </c>
      <c r="D1543" s="8" t="s">
        <v>4983</v>
      </c>
      <c r="E1543" s="8" t="s">
        <v>4984</v>
      </c>
      <c r="F1543" s="8" t="s">
        <v>4985</v>
      </c>
      <c r="G1543" s="8" t="s">
        <v>4986</v>
      </c>
      <c r="H1543" s="8" t="s">
        <v>4987</v>
      </c>
      <c r="I1543" s="8" t="s">
        <v>31</v>
      </c>
      <c r="J1543" s="8" t="s">
        <v>58</v>
      </c>
      <c r="K1543" s="6"/>
      <c r="L1543" s="7">
        <v>45636</v>
      </c>
      <c r="M1543" s="6" t="s">
        <v>32</v>
      </c>
      <c r="N1543" s="8" t="s">
        <v>4988</v>
      </c>
      <c r="O1543" s="6">
        <f>HYPERLINK("https://docs.wto.org/imrd/directdoc.asp?DDFDocuments/t/G/TBTN24/BDI516.DOCX", "https://docs.wto.org/imrd/directdoc.asp?DDFDocuments/t/G/TBTN24/BDI516.DOCX")</f>
      </c>
      <c r="P1543" s="6">
        <f>HYPERLINK("https://docs.wto.org/imrd/directdoc.asp?DDFDocuments/u/G/TBTN24/BDI516.DOCX", "https://docs.wto.org/imrd/directdoc.asp?DDFDocuments/u/G/TBTN24/BDI516.DOCX")</f>
      </c>
      <c r="Q1543" s="6">
        <f>HYPERLINK("https://docs.wto.org/imrd/directdoc.asp?DDFDocuments/v/G/TBTN24/BDI516.DOCX", "https://docs.wto.org/imrd/directdoc.asp?DDFDocuments/v/G/TBTN24/BDI516.DOCX")</f>
      </c>
    </row>
    <row r="1544">
      <c r="A1544" s="6" t="s">
        <v>60</v>
      </c>
      <c r="B1544" s="7">
        <v>45576</v>
      </c>
      <c r="C1544" s="9">
        <f>HYPERLINK("https://eping.wto.org/en/Search?viewData= G/TBT/N/BDI/516, G/TBT/N/KEN/1683, G/TBT/N/RWA/1082, G/TBT/N/TZA/1182, G/TBT/N/UGA/2026"," G/TBT/N/BDI/516, G/TBT/N/KEN/1683, G/TBT/N/RWA/1082, G/TBT/N/TZA/1182, G/TBT/N/UGA/2026")</f>
      </c>
      <c r="D1544" s="8" t="s">
        <v>4983</v>
      </c>
      <c r="E1544" s="8" t="s">
        <v>4984</v>
      </c>
      <c r="F1544" s="8" t="s">
        <v>4985</v>
      </c>
      <c r="G1544" s="8" t="s">
        <v>4986</v>
      </c>
      <c r="H1544" s="8" t="s">
        <v>4987</v>
      </c>
      <c r="I1544" s="8" t="s">
        <v>31</v>
      </c>
      <c r="J1544" s="8" t="s">
        <v>58</v>
      </c>
      <c r="K1544" s="6"/>
      <c r="L1544" s="7">
        <v>45636</v>
      </c>
      <c r="M1544" s="6" t="s">
        <v>32</v>
      </c>
      <c r="N1544" s="8" t="s">
        <v>4988</v>
      </c>
      <c r="O1544" s="6">
        <f>HYPERLINK("https://docs.wto.org/imrd/directdoc.asp?DDFDocuments/t/G/TBTN24/BDI516.DOCX", "https://docs.wto.org/imrd/directdoc.asp?DDFDocuments/t/G/TBTN24/BDI516.DOCX")</f>
      </c>
      <c r="P1544" s="6">
        <f>HYPERLINK("https://docs.wto.org/imrd/directdoc.asp?DDFDocuments/u/G/TBTN24/BDI516.DOCX", "https://docs.wto.org/imrd/directdoc.asp?DDFDocuments/u/G/TBTN24/BDI516.DOCX")</f>
      </c>
      <c r="Q1544" s="6">
        <f>HYPERLINK("https://docs.wto.org/imrd/directdoc.asp?DDFDocuments/v/G/TBTN24/BDI516.DOCX", "https://docs.wto.org/imrd/directdoc.asp?DDFDocuments/v/G/TBTN24/BDI516.DOCX")</f>
      </c>
    </row>
    <row r="1545">
      <c r="A1545" s="6" t="s">
        <v>26</v>
      </c>
      <c r="B1545" s="7">
        <v>45575</v>
      </c>
      <c r="C1545" s="9">
        <f>HYPERLINK("https://eping.wto.org/en/Search?viewData= G/TBT/N/RWA/1075"," G/TBT/N/RWA/1075")</f>
      </c>
      <c r="D1545" s="8" t="s">
        <v>4989</v>
      </c>
      <c r="E1545" s="8" t="s">
        <v>4990</v>
      </c>
      <c r="F1545" s="8" t="s">
        <v>4991</v>
      </c>
      <c r="G1545" s="8" t="s">
        <v>22</v>
      </c>
      <c r="H1545" s="8" t="s">
        <v>3307</v>
      </c>
      <c r="I1545" s="8" t="s">
        <v>4206</v>
      </c>
      <c r="J1545" s="8" t="s">
        <v>22</v>
      </c>
      <c r="K1545" s="6"/>
      <c r="L1545" s="7">
        <v>45635</v>
      </c>
      <c r="M1545" s="6" t="s">
        <v>32</v>
      </c>
      <c r="N1545" s="8" t="s">
        <v>4992</v>
      </c>
      <c r="O1545" s="6">
        <f>HYPERLINK("https://docs.wto.org/imrd/directdoc.asp?DDFDocuments/t/G/TBTN24/RWA1075.DOCX", "https://docs.wto.org/imrd/directdoc.asp?DDFDocuments/t/G/TBTN24/RWA1075.DOCX")</f>
      </c>
      <c r="P1545" s="6">
        <f>HYPERLINK("https://docs.wto.org/imrd/directdoc.asp?DDFDocuments/u/G/TBTN24/RWA1075.DOCX", "https://docs.wto.org/imrd/directdoc.asp?DDFDocuments/u/G/TBTN24/RWA1075.DOCX")</f>
      </c>
      <c r="Q1545" s="6">
        <f>HYPERLINK("https://docs.wto.org/imrd/directdoc.asp?DDFDocuments/v/G/TBTN24/RWA1075.DOCX", "https://docs.wto.org/imrd/directdoc.asp?DDFDocuments/v/G/TBTN24/RWA1075.DOCX")</f>
      </c>
    </row>
    <row r="1546">
      <c r="A1546" s="6" t="s">
        <v>26</v>
      </c>
      <c r="B1546" s="7">
        <v>45575</v>
      </c>
      <c r="C1546" s="9">
        <f>HYPERLINK("https://eping.wto.org/en/Search?viewData= G/TBT/N/RWA/1080"," G/TBT/N/RWA/1080")</f>
      </c>
      <c r="D1546" s="8" t="s">
        <v>4993</v>
      </c>
      <c r="E1546" s="8" t="s">
        <v>4994</v>
      </c>
      <c r="F1546" s="8" t="s">
        <v>4991</v>
      </c>
      <c r="G1546" s="8" t="s">
        <v>22</v>
      </c>
      <c r="H1546" s="8" t="s">
        <v>3307</v>
      </c>
      <c r="I1546" s="8" t="s">
        <v>4206</v>
      </c>
      <c r="J1546" s="8" t="s">
        <v>22</v>
      </c>
      <c r="K1546" s="6"/>
      <c r="L1546" s="7">
        <v>45635</v>
      </c>
      <c r="M1546" s="6" t="s">
        <v>32</v>
      </c>
      <c r="N1546" s="8" t="s">
        <v>4995</v>
      </c>
      <c r="O1546" s="6">
        <f>HYPERLINK("https://docs.wto.org/imrd/directdoc.asp?DDFDocuments/t/G/TBTN24/RWA1080.DOCX", "https://docs.wto.org/imrd/directdoc.asp?DDFDocuments/t/G/TBTN24/RWA1080.DOCX")</f>
      </c>
      <c r="P1546" s="6">
        <f>HYPERLINK("https://docs.wto.org/imrd/directdoc.asp?DDFDocuments/u/G/TBTN24/RWA1080.DOCX", "https://docs.wto.org/imrd/directdoc.asp?DDFDocuments/u/G/TBTN24/RWA1080.DOCX")</f>
      </c>
      <c r="Q1546" s="6">
        <f>HYPERLINK("https://docs.wto.org/imrd/directdoc.asp?DDFDocuments/v/G/TBTN24/RWA1080.DOCX", "https://docs.wto.org/imrd/directdoc.asp?DDFDocuments/v/G/TBTN24/RWA1080.DOCX")</f>
      </c>
    </row>
    <row r="1547">
      <c r="A1547" s="6" t="s">
        <v>818</v>
      </c>
      <c r="B1547" s="7">
        <v>45575</v>
      </c>
      <c r="C1547" s="9">
        <f>HYPERLINK("https://eping.wto.org/en/Search?viewData= G/SPS/N/SLV/148/Add.1"," G/SPS/N/SLV/148/Add.1")</f>
      </c>
      <c r="D1547" s="8" t="s">
        <v>4996</v>
      </c>
      <c r="E1547" s="8" t="s">
        <v>4996</v>
      </c>
      <c r="F1547" s="8" t="s">
        <v>4997</v>
      </c>
      <c r="G1547" s="8" t="s">
        <v>22</v>
      </c>
      <c r="H1547" s="8" t="s">
        <v>22</v>
      </c>
      <c r="I1547" s="8" t="s">
        <v>1371</v>
      </c>
      <c r="J1547" s="8" t="s">
        <v>4998</v>
      </c>
      <c r="K1547" s="6"/>
      <c r="L1547" s="7" t="s">
        <v>22</v>
      </c>
      <c r="M1547" s="6" t="s">
        <v>24</v>
      </c>
      <c r="N1547" s="8" t="s">
        <v>4999</v>
      </c>
      <c r="O1547" s="6">
        <f>HYPERLINK("https://docs.wto.org/imrd/directdoc.asp?DDFDocuments/t/G/SPS/NSLV148A1.DOCX", "https://docs.wto.org/imrd/directdoc.asp?DDFDocuments/t/G/SPS/NSLV148A1.DOCX")</f>
      </c>
      <c r="P1547" s="6">
        <f>HYPERLINK("https://docs.wto.org/imrd/directdoc.asp?DDFDocuments/u/G/SPS/NSLV148A1.DOCX", "https://docs.wto.org/imrd/directdoc.asp?DDFDocuments/u/G/SPS/NSLV148A1.DOCX")</f>
      </c>
      <c r="Q1547" s="6">
        <f>HYPERLINK("https://docs.wto.org/imrd/directdoc.asp?DDFDocuments/v/G/SPS/NSLV148A1.DOCX", "https://docs.wto.org/imrd/directdoc.asp?DDFDocuments/v/G/SPS/NSLV148A1.DOCX")</f>
      </c>
    </row>
    <row r="1548">
      <c r="A1548" s="6" t="s">
        <v>123</v>
      </c>
      <c r="B1548" s="7">
        <v>45575</v>
      </c>
      <c r="C1548" s="9">
        <f>HYPERLINK("https://eping.wto.org/en/Search?viewData= G/TBT/N/ECU/532/Add.1"," G/TBT/N/ECU/532/Add.1")</f>
      </c>
      <c r="D1548" s="8" t="s">
        <v>5000</v>
      </c>
      <c r="E1548" s="8" t="s">
        <v>5001</v>
      </c>
      <c r="F1548" s="8" t="s">
        <v>5002</v>
      </c>
      <c r="G1548" s="8" t="s">
        <v>5003</v>
      </c>
      <c r="H1548" s="8" t="s">
        <v>5004</v>
      </c>
      <c r="I1548" s="8" t="s">
        <v>1327</v>
      </c>
      <c r="J1548" s="8" t="s">
        <v>22</v>
      </c>
      <c r="K1548" s="6"/>
      <c r="L1548" s="7" t="s">
        <v>22</v>
      </c>
      <c r="M1548" s="6" t="s">
        <v>40</v>
      </c>
      <c r="N1548" s="8" t="s">
        <v>5005</v>
      </c>
      <c r="O1548" s="6">
        <f>HYPERLINK("https://docs.wto.org/imrd/directdoc.asp?DDFDocuments/t/G/TBTN24/ECU532A1.DOCX", "https://docs.wto.org/imrd/directdoc.asp?DDFDocuments/t/G/TBTN24/ECU532A1.DOCX")</f>
      </c>
      <c r="P1548" s="6">
        <f>HYPERLINK("https://docs.wto.org/imrd/directdoc.asp?DDFDocuments/u/G/TBTN24/ECU532A1.DOCX", "https://docs.wto.org/imrd/directdoc.asp?DDFDocuments/u/G/TBTN24/ECU532A1.DOCX")</f>
      </c>
      <c r="Q1548" s="6">
        <f>HYPERLINK("https://docs.wto.org/imrd/directdoc.asp?DDFDocuments/v/G/TBTN24/ECU532A1.DOCX", "https://docs.wto.org/imrd/directdoc.asp?DDFDocuments/v/G/TBTN24/ECU532A1.DOCX")</f>
      </c>
    </row>
    <row r="1549">
      <c r="A1549" s="6" t="s">
        <v>400</v>
      </c>
      <c r="B1549" s="7">
        <v>45575</v>
      </c>
      <c r="C1549" s="9">
        <f>HYPERLINK("https://eping.wto.org/en/Search?viewData= G/SPS/N/USA/3478"," G/SPS/N/USA/3478")</f>
      </c>
      <c r="D1549" s="8" t="s">
        <v>5006</v>
      </c>
      <c r="E1549" s="8" t="s">
        <v>5007</v>
      </c>
      <c r="F1549" s="8" t="s">
        <v>5008</v>
      </c>
      <c r="G1549" s="8" t="s">
        <v>22</v>
      </c>
      <c r="H1549" s="8" t="s">
        <v>22</v>
      </c>
      <c r="I1549" s="8" t="s">
        <v>120</v>
      </c>
      <c r="J1549" s="8" t="s">
        <v>121</v>
      </c>
      <c r="K1549" s="6"/>
      <c r="L1549" s="7">
        <v>45628</v>
      </c>
      <c r="M1549" s="6" t="s">
        <v>32</v>
      </c>
      <c r="N1549" s="8" t="s">
        <v>5009</v>
      </c>
      <c r="O1549" s="6">
        <f>HYPERLINK("https://docs.wto.org/imrd/directdoc.asp?DDFDocuments/t/G/SPS/NUSA3478.DOCX", "https://docs.wto.org/imrd/directdoc.asp?DDFDocuments/t/G/SPS/NUSA3478.DOCX")</f>
      </c>
      <c r="P1549" s="6">
        <f>HYPERLINK("https://docs.wto.org/imrd/directdoc.asp?DDFDocuments/u/G/SPS/NUSA3478.DOCX", "https://docs.wto.org/imrd/directdoc.asp?DDFDocuments/u/G/SPS/NUSA3478.DOCX")</f>
      </c>
      <c r="Q1549" s="6">
        <f>HYPERLINK("https://docs.wto.org/imrd/directdoc.asp?DDFDocuments/v/G/SPS/NUSA3478.DOCX", "https://docs.wto.org/imrd/directdoc.asp?DDFDocuments/v/G/SPS/NUSA3478.DOCX")</f>
      </c>
    </row>
    <row r="1550">
      <c r="A1550" s="6" t="s">
        <v>400</v>
      </c>
      <c r="B1550" s="7">
        <v>45575</v>
      </c>
      <c r="C1550" s="9">
        <f>HYPERLINK("https://eping.wto.org/en/Search?viewData= G/TBT/N/USA/2153"," G/TBT/N/USA/2153")</f>
      </c>
      <c r="D1550" s="8" t="s">
        <v>5010</v>
      </c>
      <c r="E1550" s="8" t="s">
        <v>5011</v>
      </c>
      <c r="F1550" s="8" t="s">
        <v>5012</v>
      </c>
      <c r="G1550" s="8" t="s">
        <v>22</v>
      </c>
      <c r="H1550" s="8" t="s">
        <v>5013</v>
      </c>
      <c r="I1550" s="8" t="s">
        <v>511</v>
      </c>
      <c r="J1550" s="8" t="s">
        <v>22</v>
      </c>
      <c r="K1550" s="6"/>
      <c r="L1550" s="7">
        <v>45635</v>
      </c>
      <c r="M1550" s="6" t="s">
        <v>32</v>
      </c>
      <c r="N1550" s="8" t="s">
        <v>5014</v>
      </c>
      <c r="O1550" s="6">
        <f>HYPERLINK("https://docs.wto.org/imrd/directdoc.asp?DDFDocuments/t/G/TBTN24/USA2153.DOCX", "https://docs.wto.org/imrd/directdoc.asp?DDFDocuments/t/G/TBTN24/USA2153.DOCX")</f>
      </c>
      <c r="P1550" s="6">
        <f>HYPERLINK("https://docs.wto.org/imrd/directdoc.asp?DDFDocuments/u/G/TBTN24/USA2153.DOCX", "https://docs.wto.org/imrd/directdoc.asp?DDFDocuments/u/G/TBTN24/USA2153.DOCX")</f>
      </c>
      <c r="Q1550" s="6">
        <f>HYPERLINK("https://docs.wto.org/imrd/directdoc.asp?DDFDocuments/v/G/TBTN24/USA2153.DOCX", "https://docs.wto.org/imrd/directdoc.asp?DDFDocuments/v/G/TBTN24/USA2153.DOCX")</f>
      </c>
    </row>
    <row r="1551">
      <c r="A1551" s="6" t="s">
        <v>400</v>
      </c>
      <c r="B1551" s="7">
        <v>45575</v>
      </c>
      <c r="C1551" s="9">
        <f>HYPERLINK("https://eping.wto.org/en/Search?viewData= G/TBT/N/USA/1663/Add.3"," G/TBT/N/USA/1663/Add.3")</f>
      </c>
      <c r="D1551" s="8" t="s">
        <v>3636</v>
      </c>
      <c r="E1551" s="8" t="s">
        <v>5015</v>
      </c>
      <c r="F1551" s="8" t="s">
        <v>3638</v>
      </c>
      <c r="G1551" s="8" t="s">
        <v>22</v>
      </c>
      <c r="H1551" s="8" t="s">
        <v>5016</v>
      </c>
      <c r="I1551" s="8" t="s">
        <v>1837</v>
      </c>
      <c r="J1551" s="8" t="s">
        <v>22</v>
      </c>
      <c r="K1551" s="6"/>
      <c r="L1551" s="7" t="s">
        <v>22</v>
      </c>
      <c r="M1551" s="6" t="s">
        <v>40</v>
      </c>
      <c r="N1551" s="8" t="s">
        <v>5017</v>
      </c>
      <c r="O1551" s="6">
        <f>HYPERLINK("https://docs.wto.org/imrd/directdoc.asp?DDFDocuments/t/G/TBTN20/USA1663A3.DOCX", "https://docs.wto.org/imrd/directdoc.asp?DDFDocuments/t/G/TBTN20/USA1663A3.DOCX")</f>
      </c>
      <c r="P1551" s="6">
        <f>HYPERLINK("https://docs.wto.org/imrd/directdoc.asp?DDFDocuments/u/G/TBTN20/USA1663A3.DOCX", "https://docs.wto.org/imrd/directdoc.asp?DDFDocuments/u/G/TBTN20/USA1663A3.DOCX")</f>
      </c>
      <c r="Q1551" s="6">
        <f>HYPERLINK("https://docs.wto.org/imrd/directdoc.asp?DDFDocuments/v/G/TBTN20/USA1663A3.DOCX", "https://docs.wto.org/imrd/directdoc.asp?DDFDocuments/v/G/TBTN20/USA1663A3.DOCX")</f>
      </c>
    </row>
    <row r="1552">
      <c r="A1552" s="6" t="s">
        <v>583</v>
      </c>
      <c r="B1552" s="7">
        <v>45575</v>
      </c>
      <c r="C1552" s="9">
        <f>HYPERLINK("https://eping.wto.org/en/Search?viewData= G/TBT/N/EGY/194/Add.3"," G/TBT/N/EGY/194/Add.3")</f>
      </c>
      <c r="D1552" s="8" t="s">
        <v>5018</v>
      </c>
      <c r="E1552" s="8" t="s">
        <v>5019</v>
      </c>
      <c r="F1552" s="8" t="s">
        <v>5020</v>
      </c>
      <c r="G1552" s="8" t="s">
        <v>22</v>
      </c>
      <c r="H1552" s="8" t="s">
        <v>5021</v>
      </c>
      <c r="I1552" s="8" t="s">
        <v>641</v>
      </c>
      <c r="J1552" s="8" t="s">
        <v>22</v>
      </c>
      <c r="K1552" s="6"/>
      <c r="L1552" s="7" t="s">
        <v>22</v>
      </c>
      <c r="M1552" s="6" t="s">
        <v>40</v>
      </c>
      <c r="N1552" s="6"/>
      <c r="O1552" s="6">
        <f>HYPERLINK("https://docs.wto.org/imrd/directdoc.asp?DDFDocuments/t/G/TBTN18/EGY194A3.DOCX", "https://docs.wto.org/imrd/directdoc.asp?DDFDocuments/t/G/TBTN18/EGY194A3.DOCX")</f>
      </c>
      <c r="P1552" s="6">
        <f>HYPERLINK("https://docs.wto.org/imrd/directdoc.asp?DDFDocuments/u/G/TBTN18/EGY194A3.DOCX", "https://docs.wto.org/imrd/directdoc.asp?DDFDocuments/u/G/TBTN18/EGY194A3.DOCX")</f>
      </c>
      <c r="Q1552" s="6">
        <f>HYPERLINK("https://docs.wto.org/imrd/directdoc.asp?DDFDocuments/v/G/TBTN18/EGY194A3.DOCX", "https://docs.wto.org/imrd/directdoc.asp?DDFDocuments/v/G/TBTN18/EGY194A3.DOCX")</f>
      </c>
    </row>
    <row r="1553">
      <c r="A1553" s="6" t="s">
        <v>26</v>
      </c>
      <c r="B1553" s="7">
        <v>45575</v>
      </c>
      <c r="C1553" s="9">
        <f>HYPERLINK("https://eping.wto.org/en/Search?viewData= G/TBT/N/RWA/1068"," G/TBT/N/RWA/1068")</f>
      </c>
      <c r="D1553" s="8" t="s">
        <v>5022</v>
      </c>
      <c r="E1553" s="8" t="s">
        <v>5023</v>
      </c>
      <c r="F1553" s="8" t="s">
        <v>4991</v>
      </c>
      <c r="G1553" s="8" t="s">
        <v>22</v>
      </c>
      <c r="H1553" s="8" t="s">
        <v>3307</v>
      </c>
      <c r="I1553" s="8" t="s">
        <v>4206</v>
      </c>
      <c r="J1553" s="8" t="s">
        <v>22</v>
      </c>
      <c r="K1553" s="6"/>
      <c r="L1553" s="7">
        <v>45635</v>
      </c>
      <c r="M1553" s="6" t="s">
        <v>32</v>
      </c>
      <c r="N1553" s="8" t="s">
        <v>5024</v>
      </c>
      <c r="O1553" s="6">
        <f>HYPERLINK("https://docs.wto.org/imrd/directdoc.asp?DDFDocuments/t/G/TBTN24/RWA1068.DOCX", "https://docs.wto.org/imrd/directdoc.asp?DDFDocuments/t/G/TBTN24/RWA1068.DOCX")</f>
      </c>
      <c r="P1553" s="6">
        <f>HYPERLINK("https://docs.wto.org/imrd/directdoc.asp?DDFDocuments/u/G/TBTN24/RWA1068.DOCX", "https://docs.wto.org/imrd/directdoc.asp?DDFDocuments/u/G/TBTN24/RWA1068.DOCX")</f>
      </c>
      <c r="Q1553" s="6">
        <f>HYPERLINK("https://docs.wto.org/imrd/directdoc.asp?DDFDocuments/v/G/TBTN24/RWA1068.DOCX", "https://docs.wto.org/imrd/directdoc.asp?DDFDocuments/v/G/TBTN24/RWA1068.DOCX")</f>
      </c>
    </row>
    <row r="1554">
      <c r="A1554" s="6" t="s">
        <v>26</v>
      </c>
      <c r="B1554" s="7">
        <v>45575</v>
      </c>
      <c r="C1554" s="9">
        <f>HYPERLINK("https://eping.wto.org/en/Search?viewData= G/TBT/N/RWA/1077"," G/TBT/N/RWA/1077")</f>
      </c>
      <c r="D1554" s="8" t="s">
        <v>5025</v>
      </c>
      <c r="E1554" s="8" t="s">
        <v>5026</v>
      </c>
      <c r="F1554" s="8" t="s">
        <v>5027</v>
      </c>
      <c r="G1554" s="8" t="s">
        <v>22</v>
      </c>
      <c r="H1554" s="8" t="s">
        <v>3464</v>
      </c>
      <c r="I1554" s="8" t="s">
        <v>4206</v>
      </c>
      <c r="J1554" s="8" t="s">
        <v>22</v>
      </c>
      <c r="K1554" s="6"/>
      <c r="L1554" s="7">
        <v>45635</v>
      </c>
      <c r="M1554" s="6" t="s">
        <v>32</v>
      </c>
      <c r="N1554" s="8" t="s">
        <v>5028</v>
      </c>
      <c r="O1554" s="6">
        <f>HYPERLINK("https://docs.wto.org/imrd/directdoc.asp?DDFDocuments/t/G/TBTN24/RWA1077.DOCX", "https://docs.wto.org/imrd/directdoc.asp?DDFDocuments/t/G/TBTN24/RWA1077.DOCX")</f>
      </c>
      <c r="P1554" s="6">
        <f>HYPERLINK("https://docs.wto.org/imrd/directdoc.asp?DDFDocuments/u/G/TBTN24/RWA1077.DOCX", "https://docs.wto.org/imrd/directdoc.asp?DDFDocuments/u/G/TBTN24/RWA1077.DOCX")</f>
      </c>
      <c r="Q1554" s="6">
        <f>HYPERLINK("https://docs.wto.org/imrd/directdoc.asp?DDFDocuments/v/G/TBTN24/RWA1077.DOCX", "https://docs.wto.org/imrd/directdoc.asp?DDFDocuments/v/G/TBTN24/RWA1077.DOCX")</f>
      </c>
    </row>
    <row r="1555">
      <c r="A1555" s="6" t="s">
        <v>26</v>
      </c>
      <c r="B1555" s="7">
        <v>45575</v>
      </c>
      <c r="C1555" s="9">
        <f>HYPERLINK("https://eping.wto.org/en/Search?viewData= G/TBT/N/RWA/1072"," G/TBT/N/RWA/1072")</f>
      </c>
      <c r="D1555" s="8" t="s">
        <v>5029</v>
      </c>
      <c r="E1555" s="8" t="s">
        <v>5030</v>
      </c>
      <c r="F1555" s="8" t="s">
        <v>4991</v>
      </c>
      <c r="G1555" s="8" t="s">
        <v>22</v>
      </c>
      <c r="H1555" s="8" t="s">
        <v>3307</v>
      </c>
      <c r="I1555" s="8" t="s">
        <v>4206</v>
      </c>
      <c r="J1555" s="8" t="s">
        <v>22</v>
      </c>
      <c r="K1555" s="6"/>
      <c r="L1555" s="7">
        <v>45635</v>
      </c>
      <c r="M1555" s="6" t="s">
        <v>32</v>
      </c>
      <c r="N1555" s="8" t="s">
        <v>5031</v>
      </c>
      <c r="O1555" s="6">
        <f>HYPERLINK("https://docs.wto.org/imrd/directdoc.asp?DDFDocuments/t/G/TBTN24/RWA1072.DOCX", "https://docs.wto.org/imrd/directdoc.asp?DDFDocuments/t/G/TBTN24/RWA1072.DOCX")</f>
      </c>
      <c r="P1555" s="6">
        <f>HYPERLINK("https://docs.wto.org/imrd/directdoc.asp?DDFDocuments/u/G/TBTN24/RWA1072.DOCX", "https://docs.wto.org/imrd/directdoc.asp?DDFDocuments/u/G/TBTN24/RWA1072.DOCX")</f>
      </c>
      <c r="Q1555" s="6">
        <f>HYPERLINK("https://docs.wto.org/imrd/directdoc.asp?DDFDocuments/v/G/TBTN24/RWA1072.DOCX", "https://docs.wto.org/imrd/directdoc.asp?DDFDocuments/v/G/TBTN24/RWA1072.DOCX")</f>
      </c>
    </row>
    <row r="1556">
      <c r="A1556" s="6" t="s">
        <v>333</v>
      </c>
      <c r="B1556" s="7">
        <v>45575</v>
      </c>
      <c r="C1556" s="9">
        <f>HYPERLINK("https://eping.wto.org/en/Search?viewData= G/TBT/N/AUS/176"," G/TBT/N/AUS/176")</f>
      </c>
      <c r="D1556" s="8" t="s">
        <v>5032</v>
      </c>
      <c r="E1556" s="8" t="s">
        <v>5033</v>
      </c>
      <c r="F1556" s="8" t="s">
        <v>5034</v>
      </c>
      <c r="G1556" s="8" t="s">
        <v>5035</v>
      </c>
      <c r="H1556" s="8" t="s">
        <v>22</v>
      </c>
      <c r="I1556" s="8" t="s">
        <v>138</v>
      </c>
      <c r="J1556" s="8" t="s">
        <v>22</v>
      </c>
      <c r="K1556" s="6"/>
      <c r="L1556" s="7">
        <v>45610</v>
      </c>
      <c r="M1556" s="6" t="s">
        <v>32</v>
      </c>
      <c r="N1556" s="8" t="s">
        <v>5036</v>
      </c>
      <c r="O1556" s="6">
        <f>HYPERLINK("https://docs.wto.org/imrd/directdoc.asp?DDFDocuments/t/G/TBTN24/AUS176.DOCX", "https://docs.wto.org/imrd/directdoc.asp?DDFDocuments/t/G/TBTN24/AUS176.DOCX")</f>
      </c>
      <c r="P1556" s="6">
        <f>HYPERLINK("https://docs.wto.org/imrd/directdoc.asp?DDFDocuments/u/G/TBTN24/AUS176.DOCX", "https://docs.wto.org/imrd/directdoc.asp?DDFDocuments/u/G/TBTN24/AUS176.DOCX")</f>
      </c>
      <c r="Q1556" s="6">
        <f>HYPERLINK("https://docs.wto.org/imrd/directdoc.asp?DDFDocuments/v/G/TBTN24/AUS176.DOCX", "https://docs.wto.org/imrd/directdoc.asp?DDFDocuments/v/G/TBTN24/AUS176.DOCX")</f>
      </c>
    </row>
    <row r="1557">
      <c r="A1557" s="6" t="s">
        <v>400</v>
      </c>
      <c r="B1557" s="7">
        <v>45575</v>
      </c>
      <c r="C1557" s="9">
        <f>HYPERLINK("https://eping.wto.org/en/Search?viewData= G/TBT/N/USA/2053/Add.1"," G/TBT/N/USA/2053/Add.1")</f>
      </c>
      <c r="D1557" s="8" t="s">
        <v>5037</v>
      </c>
      <c r="E1557" s="8" t="s">
        <v>5038</v>
      </c>
      <c r="F1557" s="8" t="s">
        <v>5039</v>
      </c>
      <c r="G1557" s="8" t="s">
        <v>22</v>
      </c>
      <c r="H1557" s="8" t="s">
        <v>5040</v>
      </c>
      <c r="I1557" s="8" t="s">
        <v>231</v>
      </c>
      <c r="J1557" s="8" t="s">
        <v>22</v>
      </c>
      <c r="K1557" s="6"/>
      <c r="L1557" s="7" t="s">
        <v>22</v>
      </c>
      <c r="M1557" s="6" t="s">
        <v>40</v>
      </c>
      <c r="N1557" s="8" t="s">
        <v>5041</v>
      </c>
      <c r="O1557" s="6">
        <f>HYPERLINK("https://docs.wto.org/imrd/directdoc.asp?DDFDocuments/t/G/TBTN23/USA2053A1.DOCX", "https://docs.wto.org/imrd/directdoc.asp?DDFDocuments/t/G/TBTN23/USA2053A1.DOCX")</f>
      </c>
      <c r="P1557" s="6">
        <f>HYPERLINK("https://docs.wto.org/imrd/directdoc.asp?DDFDocuments/u/G/TBTN23/USA2053A1.DOCX", "https://docs.wto.org/imrd/directdoc.asp?DDFDocuments/u/G/TBTN23/USA2053A1.DOCX")</f>
      </c>
      <c r="Q1557" s="6">
        <f>HYPERLINK("https://docs.wto.org/imrd/directdoc.asp?DDFDocuments/v/G/TBTN23/USA2053A1.DOCX", "https://docs.wto.org/imrd/directdoc.asp?DDFDocuments/v/G/TBTN23/USA2053A1.DOCX")</f>
      </c>
    </row>
    <row r="1558">
      <c r="A1558" s="6" t="s">
        <v>26</v>
      </c>
      <c r="B1558" s="7">
        <v>45575</v>
      </c>
      <c r="C1558" s="9">
        <f>HYPERLINK("https://eping.wto.org/en/Search?viewData= G/TBT/N/RWA/1078"," G/TBT/N/RWA/1078")</f>
      </c>
      <c r="D1558" s="8" t="s">
        <v>5042</v>
      </c>
      <c r="E1558" s="8" t="s">
        <v>5043</v>
      </c>
      <c r="F1558" s="8" t="s">
        <v>5044</v>
      </c>
      <c r="G1558" s="8" t="s">
        <v>22</v>
      </c>
      <c r="H1558" s="8" t="s">
        <v>5045</v>
      </c>
      <c r="I1558" s="8" t="s">
        <v>4206</v>
      </c>
      <c r="J1558" s="8" t="s">
        <v>58</v>
      </c>
      <c r="K1558" s="6"/>
      <c r="L1558" s="7">
        <v>45635</v>
      </c>
      <c r="M1558" s="6" t="s">
        <v>32</v>
      </c>
      <c r="N1558" s="8" t="s">
        <v>5046</v>
      </c>
      <c r="O1558" s="6">
        <f>HYPERLINK("https://docs.wto.org/imrd/directdoc.asp?DDFDocuments/t/G/TBTN24/RWA1078.DOCX", "https://docs.wto.org/imrd/directdoc.asp?DDFDocuments/t/G/TBTN24/RWA1078.DOCX")</f>
      </c>
      <c r="P1558" s="6">
        <f>HYPERLINK("https://docs.wto.org/imrd/directdoc.asp?DDFDocuments/u/G/TBTN24/RWA1078.DOCX", "https://docs.wto.org/imrd/directdoc.asp?DDFDocuments/u/G/TBTN24/RWA1078.DOCX")</f>
      </c>
      <c r="Q1558" s="6">
        <f>HYPERLINK("https://docs.wto.org/imrd/directdoc.asp?DDFDocuments/v/G/TBTN24/RWA1078.DOCX", "https://docs.wto.org/imrd/directdoc.asp?DDFDocuments/v/G/TBTN24/RWA1078.DOCX")</f>
      </c>
    </row>
    <row r="1559">
      <c r="A1559" s="6" t="s">
        <v>68</v>
      </c>
      <c r="B1559" s="7">
        <v>45575</v>
      </c>
      <c r="C1559" s="9">
        <f>HYPERLINK("https://eping.wto.org/en/Search?viewData= G/TBT/N/UGA/2024"," G/TBT/N/UGA/2024")</f>
      </c>
      <c r="D1559" s="8" t="s">
        <v>5047</v>
      </c>
      <c r="E1559" s="8" t="s">
        <v>5048</v>
      </c>
      <c r="F1559" s="8" t="s">
        <v>5049</v>
      </c>
      <c r="G1559" s="8" t="s">
        <v>5050</v>
      </c>
      <c r="H1559" s="8" t="s">
        <v>2329</v>
      </c>
      <c r="I1559" s="8" t="s">
        <v>5051</v>
      </c>
      <c r="J1559" s="8" t="s">
        <v>1498</v>
      </c>
      <c r="K1559" s="6"/>
      <c r="L1559" s="7">
        <v>45635</v>
      </c>
      <c r="M1559" s="6" t="s">
        <v>32</v>
      </c>
      <c r="N1559" s="8" t="s">
        <v>5052</v>
      </c>
      <c r="O1559" s="6">
        <f>HYPERLINK("https://docs.wto.org/imrd/directdoc.asp?DDFDocuments/t/G/TBTN24/UGA2024.DOCX", "https://docs.wto.org/imrd/directdoc.asp?DDFDocuments/t/G/TBTN24/UGA2024.DOCX")</f>
      </c>
      <c r="P1559" s="6">
        <f>HYPERLINK("https://docs.wto.org/imrd/directdoc.asp?DDFDocuments/u/G/TBTN24/UGA2024.DOCX", "https://docs.wto.org/imrd/directdoc.asp?DDFDocuments/u/G/TBTN24/UGA2024.DOCX")</f>
      </c>
      <c r="Q1559" s="6">
        <f>HYPERLINK("https://docs.wto.org/imrd/directdoc.asp?DDFDocuments/v/G/TBTN24/UGA2024.DOCX", "https://docs.wto.org/imrd/directdoc.asp?DDFDocuments/v/G/TBTN24/UGA2024.DOCX")</f>
      </c>
    </row>
    <row r="1560">
      <c r="A1560" s="6" t="s">
        <v>400</v>
      </c>
      <c r="B1560" s="7">
        <v>45575</v>
      </c>
      <c r="C1560" s="9">
        <f>HYPERLINK("https://eping.wto.org/en/Search?viewData= G/TBT/N/USA/1697/Add.4/Corr.1"," G/TBT/N/USA/1697/Add.4/Corr.1")</f>
      </c>
      <c r="D1560" s="8" t="s">
        <v>5053</v>
      </c>
      <c r="E1560" s="8" t="s">
        <v>5054</v>
      </c>
      <c r="F1560" s="8" t="s">
        <v>5055</v>
      </c>
      <c r="G1560" s="8" t="s">
        <v>5056</v>
      </c>
      <c r="H1560" s="8" t="s">
        <v>5057</v>
      </c>
      <c r="I1560" s="8" t="s">
        <v>2429</v>
      </c>
      <c r="J1560" s="8" t="s">
        <v>22</v>
      </c>
      <c r="K1560" s="6"/>
      <c r="L1560" s="7" t="s">
        <v>22</v>
      </c>
      <c r="M1560" s="6" t="s">
        <v>248</v>
      </c>
      <c r="N1560" s="8" t="s">
        <v>5058</v>
      </c>
      <c r="O1560" s="6">
        <f>HYPERLINK("https://docs.wto.org/imrd/directdoc.asp?DDFDocuments/t/G/TBTN21/USA1697A4C1.DOCX", "https://docs.wto.org/imrd/directdoc.asp?DDFDocuments/t/G/TBTN21/USA1697A4C1.DOCX")</f>
      </c>
      <c r="P1560" s="6">
        <f>HYPERLINK("https://docs.wto.org/imrd/directdoc.asp?DDFDocuments/u/G/TBTN21/USA1697A4C1.DOCX", "https://docs.wto.org/imrd/directdoc.asp?DDFDocuments/u/G/TBTN21/USA1697A4C1.DOCX")</f>
      </c>
      <c r="Q1560" s="6">
        <f>HYPERLINK("https://docs.wto.org/imrd/directdoc.asp?DDFDocuments/v/G/TBTN21/USA1697A4C1.DOCX", "https://docs.wto.org/imrd/directdoc.asp?DDFDocuments/v/G/TBTN21/USA1697A4C1.DOCX")</f>
      </c>
    </row>
    <row r="1561">
      <c r="A1561" s="6" t="s">
        <v>5059</v>
      </c>
      <c r="B1561" s="7">
        <v>45575</v>
      </c>
      <c r="C1561" s="9">
        <f>HYPERLINK("https://eping.wto.org/en/Search?viewData= G/TBT/N/MDG/1"," G/TBT/N/MDG/1")</f>
      </c>
      <c r="D1561" s="8" t="s">
        <v>5060</v>
      </c>
      <c r="E1561" s="8" t="s">
        <v>5061</v>
      </c>
      <c r="F1561" s="8" t="s">
        <v>5062</v>
      </c>
      <c r="G1561" s="8" t="s">
        <v>1296</v>
      </c>
      <c r="H1561" s="8" t="s">
        <v>5063</v>
      </c>
      <c r="I1561" s="8" t="s">
        <v>5064</v>
      </c>
      <c r="J1561" s="8" t="s">
        <v>58</v>
      </c>
      <c r="K1561" s="6"/>
      <c r="L1561" s="7">
        <v>45634</v>
      </c>
      <c r="M1561" s="6" t="s">
        <v>32</v>
      </c>
      <c r="N1561" s="8" t="s">
        <v>5065</v>
      </c>
      <c r="O1561" s="6">
        <f>HYPERLINK("https://docs.wto.org/imrd/directdoc.asp?DDFDocuments/t/G/TBTN24/MDG1.DOCX", "https://docs.wto.org/imrd/directdoc.asp?DDFDocuments/t/G/TBTN24/MDG1.DOCX")</f>
      </c>
      <c r="P1561" s="6">
        <f>HYPERLINK("https://docs.wto.org/imrd/directdoc.asp?DDFDocuments/u/G/TBTN24/MDG1.DOCX", "https://docs.wto.org/imrd/directdoc.asp?DDFDocuments/u/G/TBTN24/MDG1.DOCX")</f>
      </c>
      <c r="Q1561" s="6">
        <f>HYPERLINK("https://docs.wto.org/imrd/directdoc.asp?DDFDocuments/v/G/TBTN24/MDG1.DOCX", "https://docs.wto.org/imrd/directdoc.asp?DDFDocuments/v/G/TBTN24/MDG1.DOCX")</f>
      </c>
    </row>
    <row r="1562">
      <c r="A1562" s="6" t="s">
        <v>646</v>
      </c>
      <c r="B1562" s="7">
        <v>45575</v>
      </c>
      <c r="C1562" s="9">
        <f>HYPERLINK("https://eping.wto.org/en/Search?viewData= G/TBT/N/COL/227/Add.2"," G/TBT/N/COL/227/Add.2")</f>
      </c>
      <c r="D1562" s="8" t="s">
        <v>5066</v>
      </c>
      <c r="E1562" s="8" t="s">
        <v>5067</v>
      </c>
      <c r="F1562" s="8" t="s">
        <v>5068</v>
      </c>
      <c r="G1562" s="8" t="s">
        <v>5069</v>
      </c>
      <c r="H1562" s="8" t="s">
        <v>5070</v>
      </c>
      <c r="I1562" s="8" t="s">
        <v>1819</v>
      </c>
      <c r="J1562" s="8" t="s">
        <v>22</v>
      </c>
      <c r="K1562" s="6"/>
      <c r="L1562" s="7" t="s">
        <v>22</v>
      </c>
      <c r="M1562" s="6" t="s">
        <v>40</v>
      </c>
      <c r="N1562" s="8" t="s">
        <v>5071</v>
      </c>
      <c r="O1562" s="6">
        <f>HYPERLINK("https://docs.wto.org/imrd/directdoc.asp?DDFDocuments/t/G/TBTN17/COL227A2.DOCX", "https://docs.wto.org/imrd/directdoc.asp?DDFDocuments/t/G/TBTN17/COL227A2.DOCX")</f>
      </c>
      <c r="P1562" s="6">
        <f>HYPERLINK("https://docs.wto.org/imrd/directdoc.asp?DDFDocuments/u/G/TBTN17/COL227A2.DOCX", "https://docs.wto.org/imrd/directdoc.asp?DDFDocuments/u/G/TBTN17/COL227A2.DOCX")</f>
      </c>
      <c r="Q1562" s="6">
        <f>HYPERLINK("https://docs.wto.org/imrd/directdoc.asp?DDFDocuments/v/G/TBTN17/COL227A2.DOCX", "https://docs.wto.org/imrd/directdoc.asp?DDFDocuments/v/G/TBTN17/COL227A2.DOCX")</f>
      </c>
    </row>
    <row r="1563">
      <c r="A1563" s="6" t="s">
        <v>123</v>
      </c>
      <c r="B1563" s="7">
        <v>45575</v>
      </c>
      <c r="C1563" s="9">
        <f>HYPERLINK("https://eping.wto.org/en/Search?viewData= G/TBT/N/ECU/529/Add.1"," G/TBT/N/ECU/529/Add.1")</f>
      </c>
      <c r="D1563" s="8" t="s">
        <v>5072</v>
      </c>
      <c r="E1563" s="8" t="s">
        <v>5073</v>
      </c>
      <c r="F1563" s="8" t="s">
        <v>5074</v>
      </c>
      <c r="G1563" s="8" t="s">
        <v>5075</v>
      </c>
      <c r="H1563" s="8" t="s">
        <v>5076</v>
      </c>
      <c r="I1563" s="8" t="s">
        <v>1327</v>
      </c>
      <c r="J1563" s="8" t="s">
        <v>22</v>
      </c>
      <c r="K1563" s="6"/>
      <c r="L1563" s="7" t="s">
        <v>22</v>
      </c>
      <c r="M1563" s="6" t="s">
        <v>40</v>
      </c>
      <c r="N1563" s="8" t="s">
        <v>5077</v>
      </c>
      <c r="O1563" s="6">
        <f>HYPERLINK("https://docs.wto.org/imrd/directdoc.asp?DDFDocuments/t/G/TBTN24/ECU529A1.DOCX", "https://docs.wto.org/imrd/directdoc.asp?DDFDocuments/t/G/TBTN24/ECU529A1.DOCX")</f>
      </c>
      <c r="P1563" s="6">
        <f>HYPERLINK("https://docs.wto.org/imrd/directdoc.asp?DDFDocuments/u/G/TBTN24/ECU529A1.DOCX", "https://docs.wto.org/imrd/directdoc.asp?DDFDocuments/u/G/TBTN24/ECU529A1.DOCX")</f>
      </c>
      <c r="Q1563" s="6">
        <f>HYPERLINK("https://docs.wto.org/imrd/directdoc.asp?DDFDocuments/v/G/TBTN24/ECU529A1.DOCX", "https://docs.wto.org/imrd/directdoc.asp?DDFDocuments/v/G/TBTN24/ECU529A1.DOCX")</f>
      </c>
    </row>
    <row r="1564">
      <c r="A1564" s="6" t="s">
        <v>26</v>
      </c>
      <c r="B1564" s="7">
        <v>45575</v>
      </c>
      <c r="C1564" s="9">
        <f>HYPERLINK("https://eping.wto.org/en/Search?viewData= G/TBT/N/RWA/1065"," G/TBT/N/RWA/1065")</f>
      </c>
      <c r="D1564" s="8" t="s">
        <v>5078</v>
      </c>
      <c r="E1564" s="8" t="s">
        <v>5079</v>
      </c>
      <c r="F1564" s="8" t="s">
        <v>5080</v>
      </c>
      <c r="G1564" s="8" t="s">
        <v>22</v>
      </c>
      <c r="H1564" s="8" t="s">
        <v>5081</v>
      </c>
      <c r="I1564" s="8" t="s">
        <v>4206</v>
      </c>
      <c r="J1564" s="8" t="s">
        <v>22</v>
      </c>
      <c r="K1564" s="6"/>
      <c r="L1564" s="7">
        <v>45635</v>
      </c>
      <c r="M1564" s="6" t="s">
        <v>32</v>
      </c>
      <c r="N1564" s="8" t="s">
        <v>5082</v>
      </c>
      <c r="O1564" s="6">
        <f>HYPERLINK("https://docs.wto.org/imrd/directdoc.asp?DDFDocuments/t/G/TBTN24/RWA1065.DOCX", "https://docs.wto.org/imrd/directdoc.asp?DDFDocuments/t/G/TBTN24/RWA1065.DOCX")</f>
      </c>
      <c r="P1564" s="6">
        <f>HYPERLINK("https://docs.wto.org/imrd/directdoc.asp?DDFDocuments/u/G/TBTN24/RWA1065.DOCX", "https://docs.wto.org/imrd/directdoc.asp?DDFDocuments/u/G/TBTN24/RWA1065.DOCX")</f>
      </c>
      <c r="Q1564" s="6">
        <f>HYPERLINK("https://docs.wto.org/imrd/directdoc.asp?DDFDocuments/v/G/TBTN24/RWA1065.DOCX", "https://docs.wto.org/imrd/directdoc.asp?DDFDocuments/v/G/TBTN24/RWA1065.DOCX")</f>
      </c>
    </row>
    <row r="1565">
      <c r="A1565" s="6" t="s">
        <v>68</v>
      </c>
      <c r="B1565" s="7">
        <v>45575</v>
      </c>
      <c r="C1565" s="9">
        <f>HYPERLINK("https://eping.wto.org/en/Search?viewData= G/TBT/N/UGA/2025"," G/TBT/N/UGA/2025")</f>
      </c>
      <c r="D1565" s="8" t="s">
        <v>5083</v>
      </c>
      <c r="E1565" s="8" t="s">
        <v>5084</v>
      </c>
      <c r="F1565" s="8" t="s">
        <v>5085</v>
      </c>
      <c r="G1565" s="8" t="s">
        <v>5050</v>
      </c>
      <c r="H1565" s="8" t="s">
        <v>2329</v>
      </c>
      <c r="I1565" s="8" t="s">
        <v>5086</v>
      </c>
      <c r="J1565" s="8" t="s">
        <v>58</v>
      </c>
      <c r="K1565" s="6"/>
      <c r="L1565" s="7">
        <v>45635</v>
      </c>
      <c r="M1565" s="6" t="s">
        <v>32</v>
      </c>
      <c r="N1565" s="8" t="s">
        <v>5087</v>
      </c>
      <c r="O1565" s="6">
        <f>HYPERLINK("https://docs.wto.org/imrd/directdoc.asp?DDFDocuments/t/G/TBTN24/UGA2025.DOCX", "https://docs.wto.org/imrd/directdoc.asp?DDFDocuments/t/G/TBTN24/UGA2025.DOCX")</f>
      </c>
      <c r="P1565" s="6">
        <f>HYPERLINK("https://docs.wto.org/imrd/directdoc.asp?DDFDocuments/u/G/TBTN24/UGA2025.DOCX", "https://docs.wto.org/imrd/directdoc.asp?DDFDocuments/u/G/TBTN24/UGA2025.DOCX")</f>
      </c>
      <c r="Q1565" s="6">
        <f>HYPERLINK("https://docs.wto.org/imrd/directdoc.asp?DDFDocuments/v/G/TBTN24/UGA2025.DOCX", "https://docs.wto.org/imrd/directdoc.asp?DDFDocuments/v/G/TBTN24/UGA2025.DOCX")</f>
      </c>
    </row>
    <row r="1566">
      <c r="A1566" s="6" t="s">
        <v>583</v>
      </c>
      <c r="B1566" s="7">
        <v>45575</v>
      </c>
      <c r="C1566" s="9">
        <f>HYPERLINK("https://eping.wto.org/en/Search?viewData= G/TBT/N/EGY/191/Add.3"," G/TBT/N/EGY/191/Add.3")</f>
      </c>
      <c r="D1566" s="8" t="s">
        <v>5088</v>
      </c>
      <c r="E1566" s="8" t="s">
        <v>5089</v>
      </c>
      <c r="F1566" s="8" t="s">
        <v>5090</v>
      </c>
      <c r="G1566" s="8" t="s">
        <v>22</v>
      </c>
      <c r="H1566" s="8" t="s">
        <v>5091</v>
      </c>
      <c r="I1566" s="8" t="s">
        <v>641</v>
      </c>
      <c r="J1566" s="8" t="s">
        <v>22</v>
      </c>
      <c r="K1566" s="6"/>
      <c r="L1566" s="7" t="s">
        <v>22</v>
      </c>
      <c r="M1566" s="6" t="s">
        <v>40</v>
      </c>
      <c r="N1566" s="6"/>
      <c r="O1566" s="6">
        <f>HYPERLINK("https://docs.wto.org/imrd/directdoc.asp?DDFDocuments/t/G/TBTN18/EGY191A3.DOCX", "https://docs.wto.org/imrd/directdoc.asp?DDFDocuments/t/G/TBTN18/EGY191A3.DOCX")</f>
      </c>
      <c r="P1566" s="6">
        <f>HYPERLINK("https://docs.wto.org/imrd/directdoc.asp?DDFDocuments/u/G/TBTN18/EGY191A3.DOCX", "https://docs.wto.org/imrd/directdoc.asp?DDFDocuments/u/G/TBTN18/EGY191A3.DOCX")</f>
      </c>
      <c r="Q1566" s="6">
        <f>HYPERLINK("https://docs.wto.org/imrd/directdoc.asp?DDFDocuments/v/G/TBTN18/EGY191A3.DOCX", "https://docs.wto.org/imrd/directdoc.asp?DDFDocuments/v/G/TBTN18/EGY191A3.DOCX")</f>
      </c>
    </row>
    <row r="1567">
      <c r="A1567" s="6" t="s">
        <v>400</v>
      </c>
      <c r="B1567" s="7">
        <v>45575</v>
      </c>
      <c r="C1567" s="9">
        <f>HYPERLINK("https://eping.wto.org/en/Search?viewData= G/TBT/N/USA/489/Add.6"," G/TBT/N/USA/489/Add.6")</f>
      </c>
      <c r="D1567" s="8" t="s">
        <v>5092</v>
      </c>
      <c r="E1567" s="8" t="s">
        <v>5093</v>
      </c>
      <c r="F1567" s="8" t="s">
        <v>5094</v>
      </c>
      <c r="G1567" s="8" t="s">
        <v>5095</v>
      </c>
      <c r="H1567" s="8" t="s">
        <v>1940</v>
      </c>
      <c r="I1567" s="8" t="s">
        <v>39</v>
      </c>
      <c r="J1567" s="8" t="s">
        <v>22</v>
      </c>
      <c r="K1567" s="6"/>
      <c r="L1567" s="7">
        <v>45604</v>
      </c>
      <c r="M1567" s="6" t="s">
        <v>40</v>
      </c>
      <c r="N1567" s="8" t="s">
        <v>5096</v>
      </c>
      <c r="O1567" s="6">
        <f>HYPERLINK("https://docs.wto.org/imrd/directdoc.asp?DDFDocuments/t/G/TBTN09/USA489A6.DOCX", "https://docs.wto.org/imrd/directdoc.asp?DDFDocuments/t/G/TBTN09/USA489A6.DOCX")</f>
      </c>
      <c r="P1567" s="6">
        <f>HYPERLINK("https://docs.wto.org/imrd/directdoc.asp?DDFDocuments/u/G/TBTN09/USA489A6.DOCX", "https://docs.wto.org/imrd/directdoc.asp?DDFDocuments/u/G/TBTN09/USA489A6.DOCX")</f>
      </c>
      <c r="Q1567" s="6">
        <f>HYPERLINK("https://docs.wto.org/imrd/directdoc.asp?DDFDocuments/v/G/TBTN09/USA489A6.DOCX", "https://docs.wto.org/imrd/directdoc.asp?DDFDocuments/v/G/TBTN09/USA489A6.DOCX")</f>
      </c>
    </row>
    <row r="1568">
      <c r="A1568" s="6" t="s">
        <v>26</v>
      </c>
      <c r="B1568" s="7">
        <v>45575</v>
      </c>
      <c r="C1568" s="9">
        <f>HYPERLINK("https://eping.wto.org/en/Search?viewData= G/TBT/N/RWA/1074"," G/TBT/N/RWA/1074")</f>
      </c>
      <c r="D1568" s="8" t="s">
        <v>5097</v>
      </c>
      <c r="E1568" s="8" t="s">
        <v>5098</v>
      </c>
      <c r="F1568" s="8" t="s">
        <v>4991</v>
      </c>
      <c r="G1568" s="8" t="s">
        <v>22</v>
      </c>
      <c r="H1568" s="8" t="s">
        <v>3307</v>
      </c>
      <c r="I1568" s="8" t="s">
        <v>4206</v>
      </c>
      <c r="J1568" s="8" t="s">
        <v>22</v>
      </c>
      <c r="K1568" s="6"/>
      <c r="L1568" s="7">
        <v>45635</v>
      </c>
      <c r="M1568" s="6" t="s">
        <v>32</v>
      </c>
      <c r="N1568" s="8" t="s">
        <v>5099</v>
      </c>
      <c r="O1568" s="6">
        <f>HYPERLINK("https://docs.wto.org/imrd/directdoc.asp?DDFDocuments/t/G/TBTN24/RWA1074.DOCX", "https://docs.wto.org/imrd/directdoc.asp?DDFDocuments/t/G/TBTN24/RWA1074.DOCX")</f>
      </c>
      <c r="P1568" s="6">
        <f>HYPERLINK("https://docs.wto.org/imrd/directdoc.asp?DDFDocuments/u/G/TBTN24/RWA1074.DOCX", "https://docs.wto.org/imrd/directdoc.asp?DDFDocuments/u/G/TBTN24/RWA1074.DOCX")</f>
      </c>
      <c r="Q1568" s="6">
        <f>HYPERLINK("https://docs.wto.org/imrd/directdoc.asp?DDFDocuments/v/G/TBTN24/RWA1074.DOCX", "https://docs.wto.org/imrd/directdoc.asp?DDFDocuments/v/G/TBTN24/RWA1074.DOCX")</f>
      </c>
    </row>
    <row r="1569">
      <c r="A1569" s="6" t="s">
        <v>26</v>
      </c>
      <c r="B1569" s="7">
        <v>45575</v>
      </c>
      <c r="C1569" s="9">
        <f>HYPERLINK("https://eping.wto.org/en/Search?viewData= G/TBT/N/RWA/1076"," G/TBT/N/RWA/1076")</f>
      </c>
      <c r="D1569" s="8" t="s">
        <v>5100</v>
      </c>
      <c r="E1569" s="8" t="s">
        <v>5101</v>
      </c>
      <c r="F1569" s="8" t="s">
        <v>4991</v>
      </c>
      <c r="G1569" s="8" t="s">
        <v>22</v>
      </c>
      <c r="H1569" s="8" t="s">
        <v>3307</v>
      </c>
      <c r="I1569" s="8" t="s">
        <v>4206</v>
      </c>
      <c r="J1569" s="8" t="s">
        <v>22</v>
      </c>
      <c r="K1569" s="6"/>
      <c r="L1569" s="7">
        <v>45635</v>
      </c>
      <c r="M1569" s="6" t="s">
        <v>32</v>
      </c>
      <c r="N1569" s="8" t="s">
        <v>5102</v>
      </c>
      <c r="O1569" s="6">
        <f>HYPERLINK("https://docs.wto.org/imrd/directdoc.asp?DDFDocuments/t/G/TBTN24/RWA1076.DOCX", "https://docs.wto.org/imrd/directdoc.asp?DDFDocuments/t/G/TBTN24/RWA1076.DOCX")</f>
      </c>
      <c r="P1569" s="6">
        <f>HYPERLINK("https://docs.wto.org/imrd/directdoc.asp?DDFDocuments/u/G/TBTN24/RWA1076.DOCX", "https://docs.wto.org/imrd/directdoc.asp?DDFDocuments/u/G/TBTN24/RWA1076.DOCX")</f>
      </c>
      <c r="Q1569" s="6">
        <f>HYPERLINK("https://docs.wto.org/imrd/directdoc.asp?DDFDocuments/v/G/TBTN24/RWA1076.DOCX", "https://docs.wto.org/imrd/directdoc.asp?DDFDocuments/v/G/TBTN24/RWA1076.DOCX")</f>
      </c>
    </row>
    <row r="1570">
      <c r="A1570" s="6" t="s">
        <v>123</v>
      </c>
      <c r="B1570" s="7">
        <v>45575</v>
      </c>
      <c r="C1570" s="9">
        <f>HYPERLINK("https://eping.wto.org/en/Search?viewData= G/TBT/N/ECU/541/Add.1"," G/TBT/N/ECU/541/Add.1")</f>
      </c>
      <c r="D1570" s="8" t="s">
        <v>5103</v>
      </c>
      <c r="E1570" s="8" t="s">
        <v>5104</v>
      </c>
      <c r="F1570" s="8" t="s">
        <v>5105</v>
      </c>
      <c r="G1570" s="8" t="s">
        <v>5106</v>
      </c>
      <c r="H1570" s="8" t="s">
        <v>5107</v>
      </c>
      <c r="I1570" s="8" t="s">
        <v>265</v>
      </c>
      <c r="J1570" s="8" t="s">
        <v>22</v>
      </c>
      <c r="K1570" s="6"/>
      <c r="L1570" s="7" t="s">
        <v>22</v>
      </c>
      <c r="M1570" s="6" t="s">
        <v>40</v>
      </c>
      <c r="N1570" s="8" t="s">
        <v>5108</v>
      </c>
      <c r="O1570" s="6">
        <f>HYPERLINK("https://docs.wto.org/imrd/directdoc.asp?DDFDocuments/t/G/TBTN24/ECU541A1.DOCX", "https://docs.wto.org/imrd/directdoc.asp?DDFDocuments/t/G/TBTN24/ECU541A1.DOCX")</f>
      </c>
      <c r="P1570" s="6">
        <f>HYPERLINK("https://docs.wto.org/imrd/directdoc.asp?DDFDocuments/u/G/TBTN24/ECU541A1.DOCX", "https://docs.wto.org/imrd/directdoc.asp?DDFDocuments/u/G/TBTN24/ECU541A1.DOCX")</f>
      </c>
      <c r="Q1570" s="6">
        <f>HYPERLINK("https://docs.wto.org/imrd/directdoc.asp?DDFDocuments/v/G/TBTN24/ECU541A1.DOCX", "https://docs.wto.org/imrd/directdoc.asp?DDFDocuments/v/G/TBTN24/ECU541A1.DOCX")</f>
      </c>
    </row>
    <row r="1571">
      <c r="A1571" s="6" t="s">
        <v>26</v>
      </c>
      <c r="B1571" s="7">
        <v>45575</v>
      </c>
      <c r="C1571" s="9">
        <f>HYPERLINK("https://eping.wto.org/en/Search?viewData= G/TBT/N/RWA/1081"," G/TBT/N/RWA/1081")</f>
      </c>
      <c r="D1571" s="8" t="s">
        <v>5109</v>
      </c>
      <c r="E1571" s="8" t="s">
        <v>5110</v>
      </c>
      <c r="F1571" s="8" t="s">
        <v>4991</v>
      </c>
      <c r="G1571" s="8" t="s">
        <v>22</v>
      </c>
      <c r="H1571" s="8" t="s">
        <v>3307</v>
      </c>
      <c r="I1571" s="8" t="s">
        <v>4206</v>
      </c>
      <c r="J1571" s="8" t="s">
        <v>22</v>
      </c>
      <c r="K1571" s="6"/>
      <c r="L1571" s="7">
        <v>45635</v>
      </c>
      <c r="M1571" s="6" t="s">
        <v>32</v>
      </c>
      <c r="N1571" s="8" t="s">
        <v>5111</v>
      </c>
      <c r="O1571" s="6">
        <f>HYPERLINK("https://docs.wto.org/imrd/directdoc.asp?DDFDocuments/t/G/TBTN24/RWA1081.DOCX", "https://docs.wto.org/imrd/directdoc.asp?DDFDocuments/t/G/TBTN24/RWA1081.DOCX")</f>
      </c>
      <c r="P1571" s="6">
        <f>HYPERLINK("https://docs.wto.org/imrd/directdoc.asp?DDFDocuments/u/G/TBTN24/RWA1081.DOCX", "https://docs.wto.org/imrd/directdoc.asp?DDFDocuments/u/G/TBTN24/RWA1081.DOCX")</f>
      </c>
      <c r="Q1571" s="6">
        <f>HYPERLINK("https://docs.wto.org/imrd/directdoc.asp?DDFDocuments/v/G/TBTN24/RWA1081.DOCX", "https://docs.wto.org/imrd/directdoc.asp?DDFDocuments/v/G/TBTN24/RWA1081.DOCX")</f>
      </c>
    </row>
    <row r="1572">
      <c r="A1572" s="6" t="s">
        <v>26</v>
      </c>
      <c r="B1572" s="7">
        <v>45575</v>
      </c>
      <c r="C1572" s="9">
        <f>HYPERLINK("https://eping.wto.org/en/Search?viewData= G/TBT/N/RWA/1066"," G/TBT/N/RWA/1066")</f>
      </c>
      <c r="D1572" s="8" t="s">
        <v>5112</v>
      </c>
      <c r="E1572" s="8" t="s">
        <v>5113</v>
      </c>
      <c r="F1572" s="8" t="s">
        <v>71</v>
      </c>
      <c r="G1572" s="8" t="s">
        <v>22</v>
      </c>
      <c r="H1572" s="8" t="s">
        <v>5081</v>
      </c>
      <c r="I1572" s="8" t="s">
        <v>4206</v>
      </c>
      <c r="J1572" s="8" t="s">
        <v>22</v>
      </c>
      <c r="K1572" s="6"/>
      <c r="L1572" s="7">
        <v>45635</v>
      </c>
      <c r="M1572" s="6" t="s">
        <v>32</v>
      </c>
      <c r="N1572" s="8" t="s">
        <v>5114</v>
      </c>
      <c r="O1572" s="6">
        <f>HYPERLINK("https://docs.wto.org/imrd/directdoc.asp?DDFDocuments/t/G/TBTN24/RWA1066.DOCX", "https://docs.wto.org/imrd/directdoc.asp?DDFDocuments/t/G/TBTN24/RWA1066.DOCX")</f>
      </c>
      <c r="P1572" s="6">
        <f>HYPERLINK("https://docs.wto.org/imrd/directdoc.asp?DDFDocuments/u/G/TBTN24/RWA1066.DOCX", "https://docs.wto.org/imrd/directdoc.asp?DDFDocuments/u/G/TBTN24/RWA1066.DOCX")</f>
      </c>
      <c r="Q1572" s="6">
        <f>HYPERLINK("https://docs.wto.org/imrd/directdoc.asp?DDFDocuments/v/G/TBTN24/RWA1066.DOCX", "https://docs.wto.org/imrd/directdoc.asp?DDFDocuments/v/G/TBTN24/RWA1066.DOCX")</f>
      </c>
    </row>
    <row r="1573">
      <c r="A1573" s="6" t="s">
        <v>26</v>
      </c>
      <c r="B1573" s="7">
        <v>45575</v>
      </c>
      <c r="C1573" s="9">
        <f>HYPERLINK("https://eping.wto.org/en/Search?viewData= G/TBT/N/RWA/1070"," G/TBT/N/RWA/1070")</f>
      </c>
      <c r="D1573" s="8" t="s">
        <v>5115</v>
      </c>
      <c r="E1573" s="8" t="s">
        <v>5116</v>
      </c>
      <c r="F1573" s="8" t="s">
        <v>4991</v>
      </c>
      <c r="G1573" s="8" t="s">
        <v>22</v>
      </c>
      <c r="H1573" s="8" t="s">
        <v>3307</v>
      </c>
      <c r="I1573" s="8" t="s">
        <v>4206</v>
      </c>
      <c r="J1573" s="8" t="s">
        <v>22</v>
      </c>
      <c r="K1573" s="6"/>
      <c r="L1573" s="7">
        <v>45635</v>
      </c>
      <c r="M1573" s="6" t="s">
        <v>32</v>
      </c>
      <c r="N1573" s="8" t="s">
        <v>5117</v>
      </c>
      <c r="O1573" s="6">
        <f>HYPERLINK("https://docs.wto.org/imrd/directdoc.asp?DDFDocuments/t/G/TBTN24/RWA1070.DOCX", "https://docs.wto.org/imrd/directdoc.asp?DDFDocuments/t/G/TBTN24/RWA1070.DOCX")</f>
      </c>
      <c r="P1573" s="6">
        <f>HYPERLINK("https://docs.wto.org/imrd/directdoc.asp?DDFDocuments/u/G/TBTN24/RWA1070.DOCX", "https://docs.wto.org/imrd/directdoc.asp?DDFDocuments/u/G/TBTN24/RWA1070.DOCX")</f>
      </c>
      <c r="Q1573" s="6">
        <f>HYPERLINK("https://docs.wto.org/imrd/directdoc.asp?DDFDocuments/v/G/TBTN24/RWA1070.DOCX", "https://docs.wto.org/imrd/directdoc.asp?DDFDocuments/v/G/TBTN24/RWA1070.DOCX")</f>
      </c>
    </row>
    <row r="1574">
      <c r="A1574" s="6" t="s">
        <v>646</v>
      </c>
      <c r="B1574" s="7">
        <v>45575</v>
      </c>
      <c r="C1574" s="9">
        <f>HYPERLINK("https://eping.wto.org/en/Search?viewData= G/TBT/N/COL/200/Add.3"," G/TBT/N/COL/200/Add.3")</f>
      </c>
      <c r="D1574" s="8" t="s">
        <v>5118</v>
      </c>
      <c r="E1574" s="8" t="s">
        <v>5119</v>
      </c>
      <c r="F1574" s="8" t="s">
        <v>5120</v>
      </c>
      <c r="G1574" s="8" t="s">
        <v>5121</v>
      </c>
      <c r="H1574" s="8" t="s">
        <v>5122</v>
      </c>
      <c r="I1574" s="8" t="s">
        <v>823</v>
      </c>
      <c r="J1574" s="8" t="s">
        <v>22</v>
      </c>
      <c r="K1574" s="6"/>
      <c r="L1574" s="7" t="s">
        <v>22</v>
      </c>
      <c r="M1574" s="6" t="s">
        <v>40</v>
      </c>
      <c r="N1574" s="8" t="s">
        <v>5123</v>
      </c>
      <c r="O1574" s="6">
        <f>HYPERLINK("https://docs.wto.org/imrd/directdoc.asp?DDFDocuments/t/G/TBTN13/COL200A3.DOCX", "https://docs.wto.org/imrd/directdoc.asp?DDFDocuments/t/G/TBTN13/COL200A3.DOCX")</f>
      </c>
      <c r="P1574" s="6">
        <f>HYPERLINK("https://docs.wto.org/imrd/directdoc.asp?DDFDocuments/u/G/TBTN13/COL200A3.DOCX", "https://docs.wto.org/imrd/directdoc.asp?DDFDocuments/u/G/TBTN13/COL200A3.DOCX")</f>
      </c>
      <c r="Q1574" s="6">
        <f>HYPERLINK("https://docs.wto.org/imrd/directdoc.asp?DDFDocuments/v/G/TBTN13/COL200A3.DOCX", "https://docs.wto.org/imrd/directdoc.asp?DDFDocuments/v/G/TBTN13/COL200A3.DOCX")</f>
      </c>
    </row>
    <row r="1575">
      <c r="A1575" s="6" t="s">
        <v>333</v>
      </c>
      <c r="B1575" s="7">
        <v>45575</v>
      </c>
      <c r="C1575" s="9">
        <f>HYPERLINK("https://eping.wto.org/en/Search?viewData= G/TBT/N/AUS/158/Add.1"," G/TBT/N/AUS/158/Add.1")</f>
      </c>
      <c r="D1575" s="8" t="s">
        <v>5124</v>
      </c>
      <c r="E1575" s="8" t="s">
        <v>22</v>
      </c>
      <c r="F1575" s="8" t="s">
        <v>5125</v>
      </c>
      <c r="G1575" s="8" t="s">
        <v>22</v>
      </c>
      <c r="H1575" s="8" t="s">
        <v>5126</v>
      </c>
      <c r="I1575" s="8" t="s">
        <v>265</v>
      </c>
      <c r="J1575" s="8" t="s">
        <v>22</v>
      </c>
      <c r="K1575" s="6"/>
      <c r="L1575" s="7" t="s">
        <v>22</v>
      </c>
      <c r="M1575" s="6" t="s">
        <v>40</v>
      </c>
      <c r="N1575" s="8" t="s">
        <v>5127</v>
      </c>
      <c r="O1575" s="6">
        <f>HYPERLINK("https://docs.wto.org/imrd/directdoc.asp?DDFDocuments/t/G/TBTN23/AUS158A1.DOCX", "https://docs.wto.org/imrd/directdoc.asp?DDFDocuments/t/G/TBTN23/AUS158A1.DOCX")</f>
      </c>
      <c r="P1575" s="6">
        <f>HYPERLINK("https://docs.wto.org/imrd/directdoc.asp?DDFDocuments/u/G/TBTN23/AUS158A1.DOCX", "https://docs.wto.org/imrd/directdoc.asp?DDFDocuments/u/G/TBTN23/AUS158A1.DOCX")</f>
      </c>
      <c r="Q1575" s="6">
        <f>HYPERLINK("https://docs.wto.org/imrd/directdoc.asp?DDFDocuments/v/G/TBTN23/AUS158A1.DOCX", "https://docs.wto.org/imrd/directdoc.asp?DDFDocuments/v/G/TBTN23/AUS158A1.DOCX")</f>
      </c>
    </row>
    <row r="1576">
      <c r="A1576" s="6" t="s">
        <v>400</v>
      </c>
      <c r="B1576" s="7">
        <v>45575</v>
      </c>
      <c r="C1576" s="9">
        <f>HYPERLINK("https://eping.wto.org/en/Search?viewData= G/TBT/N/USA/882/Add.4"," G/TBT/N/USA/882/Add.4")</f>
      </c>
      <c r="D1576" s="8" t="s">
        <v>5128</v>
      </c>
      <c r="E1576" s="8" t="s">
        <v>5129</v>
      </c>
      <c r="F1576" s="8" t="s">
        <v>1686</v>
      </c>
      <c r="G1576" s="8" t="s">
        <v>22</v>
      </c>
      <c r="H1576" s="8" t="s">
        <v>5130</v>
      </c>
      <c r="I1576" s="8" t="s">
        <v>823</v>
      </c>
      <c r="J1576" s="8" t="s">
        <v>22</v>
      </c>
      <c r="K1576" s="6"/>
      <c r="L1576" s="7">
        <v>45621</v>
      </c>
      <c r="M1576" s="6" t="s">
        <v>40</v>
      </c>
      <c r="N1576" s="8" t="s">
        <v>5131</v>
      </c>
      <c r="O1576" s="6">
        <f>HYPERLINK("https://docs.wto.org/imrd/directdoc.asp?DDFDocuments/t/G/TBTN14/USA882A4.DOCX", "https://docs.wto.org/imrd/directdoc.asp?DDFDocuments/t/G/TBTN14/USA882A4.DOCX")</f>
      </c>
      <c r="P1576" s="6">
        <f>HYPERLINK("https://docs.wto.org/imrd/directdoc.asp?DDFDocuments/u/G/TBTN14/USA882A4.DOCX", "https://docs.wto.org/imrd/directdoc.asp?DDFDocuments/u/G/TBTN14/USA882A4.DOCX")</f>
      </c>
      <c r="Q1576" s="6">
        <f>HYPERLINK("https://docs.wto.org/imrd/directdoc.asp?DDFDocuments/v/G/TBTN14/USA882A4.DOCX", "https://docs.wto.org/imrd/directdoc.asp?DDFDocuments/v/G/TBTN14/USA882A4.DOCX")</f>
      </c>
    </row>
    <row r="1577">
      <c r="A1577" s="6" t="s">
        <v>26</v>
      </c>
      <c r="B1577" s="7">
        <v>45575</v>
      </c>
      <c r="C1577" s="9">
        <f>HYPERLINK("https://eping.wto.org/en/Search?viewData= G/TBT/N/RWA/1073"," G/TBT/N/RWA/1073")</f>
      </c>
      <c r="D1577" s="8" t="s">
        <v>5132</v>
      </c>
      <c r="E1577" s="8" t="s">
        <v>5133</v>
      </c>
      <c r="F1577" s="8" t="s">
        <v>4991</v>
      </c>
      <c r="G1577" s="8" t="s">
        <v>22</v>
      </c>
      <c r="H1577" s="8" t="s">
        <v>3307</v>
      </c>
      <c r="I1577" s="8" t="s">
        <v>4206</v>
      </c>
      <c r="J1577" s="8" t="s">
        <v>22</v>
      </c>
      <c r="K1577" s="6"/>
      <c r="L1577" s="7">
        <v>45635</v>
      </c>
      <c r="M1577" s="6" t="s">
        <v>32</v>
      </c>
      <c r="N1577" s="8" t="s">
        <v>5134</v>
      </c>
      <c r="O1577" s="6">
        <f>HYPERLINK("https://docs.wto.org/imrd/directdoc.asp?DDFDocuments/t/G/TBTN24/RWA1073.DOCX", "https://docs.wto.org/imrd/directdoc.asp?DDFDocuments/t/G/TBTN24/RWA1073.DOCX")</f>
      </c>
      <c r="P1577" s="6">
        <f>HYPERLINK("https://docs.wto.org/imrd/directdoc.asp?DDFDocuments/u/G/TBTN24/RWA1073.DOCX", "https://docs.wto.org/imrd/directdoc.asp?DDFDocuments/u/G/TBTN24/RWA1073.DOCX")</f>
      </c>
      <c r="Q1577" s="6">
        <f>HYPERLINK("https://docs.wto.org/imrd/directdoc.asp?DDFDocuments/v/G/TBTN24/RWA1073.DOCX", "https://docs.wto.org/imrd/directdoc.asp?DDFDocuments/v/G/TBTN24/RWA1073.DOCX")</f>
      </c>
    </row>
    <row r="1578">
      <c r="A1578" s="6" t="s">
        <v>26</v>
      </c>
      <c r="B1578" s="7">
        <v>45575</v>
      </c>
      <c r="C1578" s="9">
        <f>HYPERLINK("https://eping.wto.org/en/Search?viewData= G/TBT/N/RWA/1079"," G/TBT/N/RWA/1079")</f>
      </c>
      <c r="D1578" s="8" t="s">
        <v>5135</v>
      </c>
      <c r="E1578" s="8" t="s">
        <v>5136</v>
      </c>
      <c r="F1578" s="8" t="s">
        <v>5137</v>
      </c>
      <c r="G1578" s="8" t="s">
        <v>5138</v>
      </c>
      <c r="H1578" s="8" t="s">
        <v>2262</v>
      </c>
      <c r="I1578" s="8" t="s">
        <v>4206</v>
      </c>
      <c r="J1578" s="8" t="s">
        <v>58</v>
      </c>
      <c r="K1578" s="6"/>
      <c r="L1578" s="7">
        <v>45635</v>
      </c>
      <c r="M1578" s="6" t="s">
        <v>32</v>
      </c>
      <c r="N1578" s="8" t="s">
        <v>5139</v>
      </c>
      <c r="O1578" s="6">
        <f>HYPERLINK("https://docs.wto.org/imrd/directdoc.asp?DDFDocuments/t/G/TBTN24/RWA1079.DOCX", "https://docs.wto.org/imrd/directdoc.asp?DDFDocuments/t/G/TBTN24/RWA1079.DOCX")</f>
      </c>
      <c r="P1578" s="6">
        <f>HYPERLINK("https://docs.wto.org/imrd/directdoc.asp?DDFDocuments/u/G/TBTN24/RWA1079.DOCX", "https://docs.wto.org/imrd/directdoc.asp?DDFDocuments/u/G/TBTN24/RWA1079.DOCX")</f>
      </c>
      <c r="Q1578" s="6">
        <f>HYPERLINK("https://docs.wto.org/imrd/directdoc.asp?DDFDocuments/v/G/TBTN24/RWA1079.DOCX", "https://docs.wto.org/imrd/directdoc.asp?DDFDocuments/v/G/TBTN24/RWA1079.DOCX")</f>
      </c>
    </row>
    <row r="1579">
      <c r="A1579" s="6" t="s">
        <v>26</v>
      </c>
      <c r="B1579" s="7">
        <v>45575</v>
      </c>
      <c r="C1579" s="9">
        <f>HYPERLINK("https://eping.wto.org/en/Search?viewData= G/TBT/N/RWA/1067"," G/TBT/N/RWA/1067")</f>
      </c>
      <c r="D1579" s="8" t="s">
        <v>5140</v>
      </c>
      <c r="E1579" s="8" t="s">
        <v>5141</v>
      </c>
      <c r="F1579" s="8" t="s">
        <v>4991</v>
      </c>
      <c r="G1579" s="8" t="s">
        <v>22</v>
      </c>
      <c r="H1579" s="8" t="s">
        <v>3307</v>
      </c>
      <c r="I1579" s="8" t="s">
        <v>4206</v>
      </c>
      <c r="J1579" s="8" t="s">
        <v>22</v>
      </c>
      <c r="K1579" s="6"/>
      <c r="L1579" s="7">
        <v>45635</v>
      </c>
      <c r="M1579" s="6" t="s">
        <v>32</v>
      </c>
      <c r="N1579" s="8" t="s">
        <v>5142</v>
      </c>
      <c r="O1579" s="6">
        <f>HYPERLINK("https://docs.wto.org/imrd/directdoc.asp?DDFDocuments/t/G/TBTN24/RWA1067.DOCX", "https://docs.wto.org/imrd/directdoc.asp?DDFDocuments/t/G/TBTN24/RWA1067.DOCX")</f>
      </c>
      <c r="P1579" s="6">
        <f>HYPERLINK("https://docs.wto.org/imrd/directdoc.asp?DDFDocuments/u/G/TBTN24/RWA1067.DOCX", "https://docs.wto.org/imrd/directdoc.asp?DDFDocuments/u/G/TBTN24/RWA1067.DOCX")</f>
      </c>
      <c r="Q1579" s="6">
        <f>HYPERLINK("https://docs.wto.org/imrd/directdoc.asp?DDFDocuments/v/G/TBTN24/RWA1067.DOCX", "https://docs.wto.org/imrd/directdoc.asp?DDFDocuments/v/G/TBTN24/RWA1067.DOCX")</f>
      </c>
    </row>
    <row r="1580">
      <c r="A1580" s="6" t="s">
        <v>360</v>
      </c>
      <c r="B1580" s="7">
        <v>45575</v>
      </c>
      <c r="C1580" s="9">
        <f>HYPERLINK("https://eping.wto.org/en/Search?viewData= G/TBT/N/CHL/705"," G/TBT/N/CHL/705")</f>
      </c>
      <c r="D1580" s="8" t="s">
        <v>5143</v>
      </c>
      <c r="E1580" s="8" t="s">
        <v>5144</v>
      </c>
      <c r="F1580" s="8" t="s">
        <v>5145</v>
      </c>
      <c r="G1580" s="8" t="s">
        <v>136</v>
      </c>
      <c r="H1580" s="8" t="s">
        <v>137</v>
      </c>
      <c r="I1580" s="8" t="s">
        <v>1482</v>
      </c>
      <c r="J1580" s="8" t="s">
        <v>22</v>
      </c>
      <c r="K1580" s="6"/>
      <c r="L1580" s="7">
        <v>45635</v>
      </c>
      <c r="M1580" s="6" t="s">
        <v>32</v>
      </c>
      <c r="N1580" s="8" t="s">
        <v>5146</v>
      </c>
      <c r="O1580" s="6">
        <f>HYPERLINK("https://docs.wto.org/imrd/directdoc.asp?DDFDocuments/t/G/TBTN24/CHL705.DOCX", "https://docs.wto.org/imrd/directdoc.asp?DDFDocuments/t/G/TBTN24/CHL705.DOCX")</f>
      </c>
      <c r="P1580" s="6">
        <f>HYPERLINK("https://docs.wto.org/imrd/directdoc.asp?DDFDocuments/u/G/TBTN24/CHL705.DOCX", "https://docs.wto.org/imrd/directdoc.asp?DDFDocuments/u/G/TBTN24/CHL705.DOCX")</f>
      </c>
      <c r="Q1580" s="6">
        <f>HYPERLINK("https://docs.wto.org/imrd/directdoc.asp?DDFDocuments/v/G/TBTN24/CHL705.DOCX", "https://docs.wto.org/imrd/directdoc.asp?DDFDocuments/v/G/TBTN24/CHL705.DOCX")</f>
      </c>
    </row>
    <row r="1581">
      <c r="A1581" s="6" t="s">
        <v>123</v>
      </c>
      <c r="B1581" s="7">
        <v>45575</v>
      </c>
      <c r="C1581" s="9">
        <f>HYPERLINK("https://eping.wto.org/en/Search?viewData= G/TBT/N/ECU/543/Add.1"," G/TBT/N/ECU/543/Add.1")</f>
      </c>
      <c r="D1581" s="8" t="s">
        <v>5147</v>
      </c>
      <c r="E1581" s="8" t="s">
        <v>5148</v>
      </c>
      <c r="F1581" s="8" t="s">
        <v>5149</v>
      </c>
      <c r="G1581" s="8" t="s">
        <v>5150</v>
      </c>
      <c r="H1581" s="8" t="s">
        <v>5151</v>
      </c>
      <c r="I1581" s="8" t="s">
        <v>265</v>
      </c>
      <c r="J1581" s="8" t="s">
        <v>22</v>
      </c>
      <c r="K1581" s="6"/>
      <c r="L1581" s="7" t="s">
        <v>22</v>
      </c>
      <c r="M1581" s="6" t="s">
        <v>40</v>
      </c>
      <c r="N1581" s="8" t="s">
        <v>5152</v>
      </c>
      <c r="O1581" s="6">
        <f>HYPERLINK("https://docs.wto.org/imrd/directdoc.asp?DDFDocuments/t/G/TBTN24/ECU543A1.DOCX", "https://docs.wto.org/imrd/directdoc.asp?DDFDocuments/t/G/TBTN24/ECU543A1.DOCX")</f>
      </c>
      <c r="P1581" s="6">
        <f>HYPERLINK("https://docs.wto.org/imrd/directdoc.asp?DDFDocuments/u/G/TBTN24/ECU543A1.DOCX", "https://docs.wto.org/imrd/directdoc.asp?DDFDocuments/u/G/TBTN24/ECU543A1.DOCX")</f>
      </c>
      <c r="Q1581" s="6">
        <f>HYPERLINK("https://docs.wto.org/imrd/directdoc.asp?DDFDocuments/v/G/TBTN24/ECU543A1.DOCX", "https://docs.wto.org/imrd/directdoc.asp?DDFDocuments/v/G/TBTN24/ECU543A1.DOCX")</f>
      </c>
    </row>
    <row r="1582">
      <c r="A1582" s="6" t="s">
        <v>123</v>
      </c>
      <c r="B1582" s="7">
        <v>45575</v>
      </c>
      <c r="C1582" s="9">
        <f>HYPERLINK("https://eping.wto.org/en/Search?viewData= G/TBT/N/ECU/533/Add.1"," G/TBT/N/ECU/533/Add.1")</f>
      </c>
      <c r="D1582" s="8" t="s">
        <v>5153</v>
      </c>
      <c r="E1582" s="8" t="s">
        <v>5154</v>
      </c>
      <c r="F1582" s="8" t="s">
        <v>5155</v>
      </c>
      <c r="G1582" s="8" t="s">
        <v>5156</v>
      </c>
      <c r="H1582" s="8" t="s">
        <v>5157</v>
      </c>
      <c r="I1582" s="8" t="s">
        <v>265</v>
      </c>
      <c r="J1582" s="8" t="s">
        <v>22</v>
      </c>
      <c r="K1582" s="6"/>
      <c r="L1582" s="7" t="s">
        <v>22</v>
      </c>
      <c r="M1582" s="6" t="s">
        <v>40</v>
      </c>
      <c r="N1582" s="8" t="s">
        <v>5158</v>
      </c>
      <c r="O1582" s="6">
        <f>HYPERLINK("https://docs.wto.org/imrd/directdoc.asp?DDFDocuments/t/G/TBTN24/ECU533A1.DOCX", "https://docs.wto.org/imrd/directdoc.asp?DDFDocuments/t/G/TBTN24/ECU533A1.DOCX")</f>
      </c>
      <c r="P1582" s="6">
        <f>HYPERLINK("https://docs.wto.org/imrd/directdoc.asp?DDFDocuments/u/G/TBTN24/ECU533A1.DOCX", "https://docs.wto.org/imrd/directdoc.asp?DDFDocuments/u/G/TBTN24/ECU533A1.DOCX")</f>
      </c>
      <c r="Q1582" s="6">
        <f>HYPERLINK("https://docs.wto.org/imrd/directdoc.asp?DDFDocuments/v/G/TBTN24/ECU533A1.DOCX", "https://docs.wto.org/imrd/directdoc.asp?DDFDocuments/v/G/TBTN24/ECU533A1.DOCX")</f>
      </c>
    </row>
    <row r="1583">
      <c r="A1583" s="6" t="s">
        <v>26</v>
      </c>
      <c r="B1583" s="7">
        <v>45575</v>
      </c>
      <c r="C1583" s="9">
        <f>HYPERLINK("https://eping.wto.org/en/Search?viewData= G/TBT/N/RWA/1069"," G/TBT/N/RWA/1069")</f>
      </c>
      <c r="D1583" s="8" t="s">
        <v>5159</v>
      </c>
      <c r="E1583" s="8" t="s">
        <v>5160</v>
      </c>
      <c r="F1583" s="8" t="s">
        <v>4991</v>
      </c>
      <c r="G1583" s="8" t="s">
        <v>22</v>
      </c>
      <c r="H1583" s="8" t="s">
        <v>3307</v>
      </c>
      <c r="I1583" s="8" t="s">
        <v>4206</v>
      </c>
      <c r="J1583" s="8" t="s">
        <v>22</v>
      </c>
      <c r="K1583" s="6"/>
      <c r="L1583" s="7">
        <v>45635</v>
      </c>
      <c r="M1583" s="6" t="s">
        <v>32</v>
      </c>
      <c r="N1583" s="8" t="s">
        <v>5161</v>
      </c>
      <c r="O1583" s="6">
        <f>HYPERLINK("https://docs.wto.org/imrd/directdoc.asp?DDFDocuments/t/G/TBTN24/RWA1069.DOCX", "https://docs.wto.org/imrd/directdoc.asp?DDFDocuments/t/G/TBTN24/RWA1069.DOCX")</f>
      </c>
      <c r="P1583" s="6">
        <f>HYPERLINK("https://docs.wto.org/imrd/directdoc.asp?DDFDocuments/u/G/TBTN24/RWA1069.DOCX", "https://docs.wto.org/imrd/directdoc.asp?DDFDocuments/u/G/TBTN24/RWA1069.DOCX")</f>
      </c>
      <c r="Q1583" s="6">
        <f>HYPERLINK("https://docs.wto.org/imrd/directdoc.asp?DDFDocuments/v/G/TBTN24/RWA1069.DOCX", "https://docs.wto.org/imrd/directdoc.asp?DDFDocuments/v/G/TBTN24/RWA1069.DOCX")</f>
      </c>
    </row>
    <row r="1584">
      <c r="A1584" s="6" t="s">
        <v>26</v>
      </c>
      <c r="B1584" s="7">
        <v>45575</v>
      </c>
      <c r="C1584" s="9">
        <f>HYPERLINK("https://eping.wto.org/en/Search?viewData= G/TBT/N/RWA/1071"," G/TBT/N/RWA/1071")</f>
      </c>
      <c r="D1584" s="8" t="s">
        <v>5162</v>
      </c>
      <c r="E1584" s="8" t="s">
        <v>5163</v>
      </c>
      <c r="F1584" s="8" t="s">
        <v>4991</v>
      </c>
      <c r="G1584" s="8" t="s">
        <v>22</v>
      </c>
      <c r="H1584" s="8" t="s">
        <v>3307</v>
      </c>
      <c r="I1584" s="8" t="s">
        <v>4206</v>
      </c>
      <c r="J1584" s="8" t="s">
        <v>22</v>
      </c>
      <c r="K1584" s="6"/>
      <c r="L1584" s="7">
        <v>45635</v>
      </c>
      <c r="M1584" s="6" t="s">
        <v>32</v>
      </c>
      <c r="N1584" s="8" t="s">
        <v>5164</v>
      </c>
      <c r="O1584" s="6">
        <f>HYPERLINK("https://docs.wto.org/imrd/directdoc.asp?DDFDocuments/t/G/TBTN24/RWA1071.DOCX", "https://docs.wto.org/imrd/directdoc.asp?DDFDocuments/t/G/TBTN24/RWA1071.DOCX")</f>
      </c>
      <c r="P1584" s="6">
        <f>HYPERLINK("https://docs.wto.org/imrd/directdoc.asp?DDFDocuments/u/G/TBTN24/RWA1071.DOCX", "https://docs.wto.org/imrd/directdoc.asp?DDFDocuments/u/G/TBTN24/RWA1071.DOCX")</f>
      </c>
      <c r="Q1584" s="6">
        <f>HYPERLINK("https://docs.wto.org/imrd/directdoc.asp?DDFDocuments/v/G/TBTN24/RWA1071.DOCX", "https://docs.wto.org/imrd/directdoc.asp?DDFDocuments/v/G/TBTN24/RWA1071.DOCX")</f>
      </c>
    </row>
    <row r="1585">
      <c r="A1585" s="6" t="s">
        <v>123</v>
      </c>
      <c r="B1585" s="7">
        <v>45575</v>
      </c>
      <c r="C1585" s="9">
        <f>HYPERLINK("https://eping.wto.org/en/Search?viewData= G/TBT/N/ECU/528/Add.1"," G/TBT/N/ECU/528/Add.1")</f>
      </c>
      <c r="D1585" s="8" t="s">
        <v>5165</v>
      </c>
      <c r="E1585" s="8" t="s">
        <v>5166</v>
      </c>
      <c r="F1585" s="8" t="s">
        <v>5167</v>
      </c>
      <c r="G1585" s="8" t="s">
        <v>5168</v>
      </c>
      <c r="H1585" s="8" t="s">
        <v>5169</v>
      </c>
      <c r="I1585" s="8" t="s">
        <v>1327</v>
      </c>
      <c r="J1585" s="8" t="s">
        <v>22</v>
      </c>
      <c r="K1585" s="6"/>
      <c r="L1585" s="7" t="s">
        <v>22</v>
      </c>
      <c r="M1585" s="6" t="s">
        <v>40</v>
      </c>
      <c r="N1585" s="8" t="s">
        <v>5170</v>
      </c>
      <c r="O1585" s="6">
        <f>HYPERLINK("https://docs.wto.org/imrd/directdoc.asp?DDFDocuments/t/G/TBTN24/ECU528A1.DOCX", "https://docs.wto.org/imrd/directdoc.asp?DDFDocuments/t/G/TBTN24/ECU528A1.DOCX")</f>
      </c>
      <c r="P1585" s="6">
        <f>HYPERLINK("https://docs.wto.org/imrd/directdoc.asp?DDFDocuments/u/G/TBTN24/ECU528A1.DOCX", "https://docs.wto.org/imrd/directdoc.asp?DDFDocuments/u/G/TBTN24/ECU528A1.DOCX")</f>
      </c>
      <c r="Q1585" s="6">
        <f>HYPERLINK("https://docs.wto.org/imrd/directdoc.asp?DDFDocuments/v/G/TBTN24/ECU528A1.DOCX", "https://docs.wto.org/imrd/directdoc.asp?DDFDocuments/v/G/TBTN24/ECU528A1.DOCX")</f>
      </c>
    </row>
    <row r="1586">
      <c r="A1586" s="6" t="s">
        <v>68</v>
      </c>
      <c r="B1586" s="7">
        <v>45574</v>
      </c>
      <c r="C1586" s="9">
        <f>HYPERLINK("https://eping.wto.org/en/Search?viewData= G/TBT/N/UGA/2021"," G/TBT/N/UGA/2021")</f>
      </c>
      <c r="D1586" s="8" t="s">
        <v>5171</v>
      </c>
      <c r="E1586" s="8" t="s">
        <v>5172</v>
      </c>
      <c r="F1586" s="8" t="s">
        <v>5049</v>
      </c>
      <c r="G1586" s="8" t="s">
        <v>5050</v>
      </c>
      <c r="H1586" s="8" t="s">
        <v>2329</v>
      </c>
      <c r="I1586" s="8" t="s">
        <v>5173</v>
      </c>
      <c r="J1586" s="8" t="s">
        <v>58</v>
      </c>
      <c r="K1586" s="6"/>
      <c r="L1586" s="7">
        <v>45634</v>
      </c>
      <c r="M1586" s="6" t="s">
        <v>32</v>
      </c>
      <c r="N1586" s="8" t="s">
        <v>5174</v>
      </c>
      <c r="O1586" s="6">
        <f>HYPERLINK("https://docs.wto.org/imrd/directdoc.asp?DDFDocuments/t/G/TBTN24/UGA2021.DOCX", "https://docs.wto.org/imrd/directdoc.asp?DDFDocuments/t/G/TBTN24/UGA2021.DOCX")</f>
      </c>
      <c r="P1586" s="6">
        <f>HYPERLINK("https://docs.wto.org/imrd/directdoc.asp?DDFDocuments/u/G/TBTN24/UGA2021.DOCX", "https://docs.wto.org/imrd/directdoc.asp?DDFDocuments/u/G/TBTN24/UGA2021.DOCX")</f>
      </c>
      <c r="Q1586" s="6">
        <f>HYPERLINK("https://docs.wto.org/imrd/directdoc.asp?DDFDocuments/v/G/TBTN24/UGA2021.DOCX", "https://docs.wto.org/imrd/directdoc.asp?DDFDocuments/v/G/TBTN24/UGA2021.DOCX")</f>
      </c>
    </row>
    <row r="1587">
      <c r="A1587" s="6" t="s">
        <v>583</v>
      </c>
      <c r="B1587" s="7">
        <v>45574</v>
      </c>
      <c r="C1587" s="9">
        <f>HYPERLINK("https://eping.wto.org/en/Search?viewData= G/TBT/N/EGY/1/Add.27"," G/TBT/N/EGY/1/Add.27")</f>
      </c>
      <c r="D1587" s="8" t="s">
        <v>5175</v>
      </c>
      <c r="E1587" s="8" t="s">
        <v>5176</v>
      </c>
      <c r="F1587" s="8" t="s">
        <v>119</v>
      </c>
      <c r="G1587" s="8" t="s">
        <v>22</v>
      </c>
      <c r="H1587" s="8" t="s">
        <v>3764</v>
      </c>
      <c r="I1587" s="8" t="s">
        <v>22</v>
      </c>
      <c r="J1587" s="8" t="s">
        <v>81</v>
      </c>
      <c r="K1587" s="6"/>
      <c r="L1587" s="7" t="s">
        <v>22</v>
      </c>
      <c r="M1587" s="6" t="s">
        <v>40</v>
      </c>
      <c r="N1587" s="6"/>
      <c r="O1587" s="6">
        <f>HYPERLINK("https://docs.wto.org/imrd/directdoc.asp?DDFDocuments/t/G/TBTN05/EGY1A27.DOCX", "https://docs.wto.org/imrd/directdoc.asp?DDFDocuments/t/G/TBTN05/EGY1A27.DOCX")</f>
      </c>
      <c r="P1587" s="6">
        <f>HYPERLINK("https://docs.wto.org/imrd/directdoc.asp?DDFDocuments/u/G/TBTN05/EGY1A27.DOCX", "https://docs.wto.org/imrd/directdoc.asp?DDFDocuments/u/G/TBTN05/EGY1A27.DOCX")</f>
      </c>
      <c r="Q1587" s="6">
        <f>HYPERLINK("https://docs.wto.org/imrd/directdoc.asp?DDFDocuments/v/G/TBTN05/EGY1A27.DOCX", "https://docs.wto.org/imrd/directdoc.asp?DDFDocuments/v/G/TBTN05/EGY1A27.DOCX")</f>
      </c>
    </row>
    <row r="1588">
      <c r="A1588" s="6" t="s">
        <v>583</v>
      </c>
      <c r="B1588" s="7">
        <v>45574</v>
      </c>
      <c r="C1588" s="9">
        <f>HYPERLINK("https://eping.wto.org/en/Search?viewData= G/TBT/N/EGY/456/Add.1"," G/TBT/N/EGY/456/Add.1")</f>
      </c>
      <c r="D1588" s="8" t="s">
        <v>5177</v>
      </c>
      <c r="E1588" s="8" t="s">
        <v>5178</v>
      </c>
      <c r="F1588" s="8" t="s">
        <v>3899</v>
      </c>
      <c r="G1588" s="8" t="s">
        <v>22</v>
      </c>
      <c r="H1588" s="8" t="s">
        <v>5179</v>
      </c>
      <c r="I1588" s="8" t="s">
        <v>203</v>
      </c>
      <c r="J1588" s="8" t="s">
        <v>22</v>
      </c>
      <c r="K1588" s="6"/>
      <c r="L1588" s="7" t="s">
        <v>22</v>
      </c>
      <c r="M1588" s="6" t="s">
        <v>40</v>
      </c>
      <c r="N1588" s="6"/>
      <c r="O1588" s="6">
        <f>HYPERLINK("https://docs.wto.org/imrd/directdoc.asp?DDFDocuments/t/G/TBTN24/EGY456A1.DOCX", "https://docs.wto.org/imrd/directdoc.asp?DDFDocuments/t/G/TBTN24/EGY456A1.DOCX")</f>
      </c>
      <c r="P1588" s="6">
        <f>HYPERLINK("https://docs.wto.org/imrd/directdoc.asp?DDFDocuments/u/G/TBTN24/EGY456A1.DOCX", "https://docs.wto.org/imrd/directdoc.asp?DDFDocuments/u/G/TBTN24/EGY456A1.DOCX")</f>
      </c>
      <c r="Q1588" s="6">
        <f>HYPERLINK("https://docs.wto.org/imrd/directdoc.asp?DDFDocuments/v/G/TBTN24/EGY456A1.DOCX", "https://docs.wto.org/imrd/directdoc.asp?DDFDocuments/v/G/TBTN24/EGY456A1.DOCX")</f>
      </c>
    </row>
    <row r="1589">
      <c r="A1589" s="6" t="s">
        <v>583</v>
      </c>
      <c r="B1589" s="7">
        <v>45574</v>
      </c>
      <c r="C1589" s="9">
        <f>HYPERLINK("https://eping.wto.org/en/Search?viewData= G/TBT/N/EGY/401/Add.1"," G/TBT/N/EGY/401/Add.1")</f>
      </c>
      <c r="D1589" s="8" t="s">
        <v>5180</v>
      </c>
      <c r="E1589" s="8" t="s">
        <v>5181</v>
      </c>
      <c r="F1589" s="8" t="s">
        <v>5182</v>
      </c>
      <c r="G1589" s="8" t="s">
        <v>22</v>
      </c>
      <c r="H1589" s="8" t="s">
        <v>5183</v>
      </c>
      <c r="I1589" s="8" t="s">
        <v>203</v>
      </c>
      <c r="J1589" s="8" t="s">
        <v>22</v>
      </c>
      <c r="K1589" s="6"/>
      <c r="L1589" s="7" t="s">
        <v>22</v>
      </c>
      <c r="M1589" s="6" t="s">
        <v>40</v>
      </c>
      <c r="N1589" s="6"/>
      <c r="O1589" s="6">
        <f>HYPERLINK("https://docs.wto.org/imrd/directdoc.asp?DDFDocuments/t/G/TBTN24/EGY401A1.DOCX", "https://docs.wto.org/imrd/directdoc.asp?DDFDocuments/t/G/TBTN24/EGY401A1.DOCX")</f>
      </c>
      <c r="P1589" s="6">
        <f>HYPERLINK("https://docs.wto.org/imrd/directdoc.asp?DDFDocuments/u/G/TBTN24/EGY401A1.DOCX", "https://docs.wto.org/imrd/directdoc.asp?DDFDocuments/u/G/TBTN24/EGY401A1.DOCX")</f>
      </c>
      <c r="Q1589" s="6">
        <f>HYPERLINK("https://docs.wto.org/imrd/directdoc.asp?DDFDocuments/v/G/TBTN24/EGY401A1.DOCX", "https://docs.wto.org/imrd/directdoc.asp?DDFDocuments/v/G/TBTN24/EGY401A1.DOCX")</f>
      </c>
    </row>
    <row r="1590">
      <c r="A1590" s="6" t="s">
        <v>583</v>
      </c>
      <c r="B1590" s="7">
        <v>45574</v>
      </c>
      <c r="C1590" s="9">
        <f>HYPERLINK("https://eping.wto.org/en/Search?viewData= G/TBT/N/EGY/487"," G/TBT/N/EGY/487")</f>
      </c>
      <c r="D1590" s="8" t="s">
        <v>5184</v>
      </c>
      <c r="E1590" s="8" t="s">
        <v>5185</v>
      </c>
      <c r="F1590" s="8" t="s">
        <v>5186</v>
      </c>
      <c r="G1590" s="8" t="s">
        <v>22</v>
      </c>
      <c r="H1590" s="8" t="s">
        <v>5187</v>
      </c>
      <c r="I1590" s="8" t="s">
        <v>138</v>
      </c>
      <c r="J1590" s="8" t="s">
        <v>22</v>
      </c>
      <c r="K1590" s="6"/>
      <c r="L1590" s="7">
        <v>45634</v>
      </c>
      <c r="M1590" s="6" t="s">
        <v>32</v>
      </c>
      <c r="N1590" s="6"/>
      <c r="O1590" s="6">
        <f>HYPERLINK("https://docs.wto.org/imrd/directdoc.asp?DDFDocuments/t/G/TBTN24/EGY487.DOCX", "https://docs.wto.org/imrd/directdoc.asp?DDFDocuments/t/G/TBTN24/EGY487.DOCX")</f>
      </c>
      <c r="P1590" s="6">
        <f>HYPERLINK("https://docs.wto.org/imrd/directdoc.asp?DDFDocuments/u/G/TBTN24/EGY487.DOCX", "https://docs.wto.org/imrd/directdoc.asp?DDFDocuments/u/G/TBTN24/EGY487.DOCX")</f>
      </c>
      <c r="Q1590" s="6">
        <f>HYPERLINK("https://docs.wto.org/imrd/directdoc.asp?DDFDocuments/v/G/TBTN24/EGY487.DOCX", "https://docs.wto.org/imrd/directdoc.asp?DDFDocuments/v/G/TBTN24/EGY487.DOCX")</f>
      </c>
    </row>
    <row r="1591">
      <c r="A1591" s="6" t="s">
        <v>583</v>
      </c>
      <c r="B1591" s="7">
        <v>45574</v>
      </c>
      <c r="C1591" s="9">
        <f>HYPERLINK("https://eping.wto.org/en/Search?viewData= G/TBT/N/EGY/472/Add.1"," G/TBT/N/EGY/472/Add.1")</f>
      </c>
      <c r="D1591" s="8" t="s">
        <v>5188</v>
      </c>
      <c r="E1591" s="8" t="s">
        <v>5189</v>
      </c>
      <c r="F1591" s="8" t="s">
        <v>5027</v>
      </c>
      <c r="G1591" s="8" t="s">
        <v>22</v>
      </c>
      <c r="H1591" s="8" t="s">
        <v>4509</v>
      </c>
      <c r="I1591" s="8" t="s">
        <v>138</v>
      </c>
      <c r="J1591" s="8" t="s">
        <v>22</v>
      </c>
      <c r="K1591" s="6"/>
      <c r="L1591" s="7" t="s">
        <v>22</v>
      </c>
      <c r="M1591" s="6" t="s">
        <v>40</v>
      </c>
      <c r="N1591" s="6"/>
      <c r="O1591" s="6">
        <f>HYPERLINK("https://docs.wto.org/imrd/directdoc.asp?DDFDocuments/t/G/TBTN24/EGY472A1.DOCX", "https://docs.wto.org/imrd/directdoc.asp?DDFDocuments/t/G/TBTN24/EGY472A1.DOCX")</f>
      </c>
      <c r="P1591" s="6">
        <f>HYPERLINK("https://docs.wto.org/imrd/directdoc.asp?DDFDocuments/u/G/TBTN24/EGY472A1.DOCX", "https://docs.wto.org/imrd/directdoc.asp?DDFDocuments/u/G/TBTN24/EGY472A1.DOCX")</f>
      </c>
      <c r="Q1591" s="6">
        <f>HYPERLINK("https://docs.wto.org/imrd/directdoc.asp?DDFDocuments/v/G/TBTN24/EGY472A1.DOCX", "https://docs.wto.org/imrd/directdoc.asp?DDFDocuments/v/G/TBTN24/EGY472A1.DOCX")</f>
      </c>
    </row>
    <row r="1592">
      <c r="A1592" s="6" t="s">
        <v>583</v>
      </c>
      <c r="B1592" s="7">
        <v>45574</v>
      </c>
      <c r="C1592" s="9">
        <f>HYPERLINK("https://eping.wto.org/en/Search?viewData= G/TBT/N/EGY/491"," G/TBT/N/EGY/491")</f>
      </c>
      <c r="D1592" s="8" t="s">
        <v>5190</v>
      </c>
      <c r="E1592" s="8" t="s">
        <v>5191</v>
      </c>
      <c r="F1592" s="8" t="s">
        <v>5192</v>
      </c>
      <c r="G1592" s="8" t="s">
        <v>22</v>
      </c>
      <c r="H1592" s="8" t="s">
        <v>3529</v>
      </c>
      <c r="I1592" s="8" t="s">
        <v>138</v>
      </c>
      <c r="J1592" s="8" t="s">
        <v>22</v>
      </c>
      <c r="K1592" s="6"/>
      <c r="L1592" s="7">
        <v>45634</v>
      </c>
      <c r="M1592" s="6" t="s">
        <v>32</v>
      </c>
      <c r="N1592" s="6"/>
      <c r="O1592" s="6">
        <f>HYPERLINK("https://docs.wto.org/imrd/directdoc.asp?DDFDocuments/t/G/TBTN24/EGY491.DOCX", "https://docs.wto.org/imrd/directdoc.asp?DDFDocuments/t/G/TBTN24/EGY491.DOCX")</f>
      </c>
      <c r="P1592" s="6">
        <f>HYPERLINK("https://docs.wto.org/imrd/directdoc.asp?DDFDocuments/u/G/TBTN24/EGY491.DOCX", "https://docs.wto.org/imrd/directdoc.asp?DDFDocuments/u/G/TBTN24/EGY491.DOCX")</f>
      </c>
      <c r="Q1592" s="6">
        <f>HYPERLINK("https://docs.wto.org/imrd/directdoc.asp?DDFDocuments/v/G/TBTN24/EGY491.DOCX", "https://docs.wto.org/imrd/directdoc.asp?DDFDocuments/v/G/TBTN24/EGY491.DOCX")</f>
      </c>
    </row>
    <row r="1593">
      <c r="A1593" s="6" t="s">
        <v>583</v>
      </c>
      <c r="B1593" s="7">
        <v>45574</v>
      </c>
      <c r="C1593" s="9">
        <f>HYPERLINK("https://eping.wto.org/en/Search?viewData= G/TBT/N/EGY/469/Add.1"," G/TBT/N/EGY/469/Add.1")</f>
      </c>
      <c r="D1593" s="8" t="s">
        <v>5193</v>
      </c>
      <c r="E1593" s="8" t="s">
        <v>5194</v>
      </c>
      <c r="F1593" s="8" t="s">
        <v>5195</v>
      </c>
      <c r="G1593" s="8" t="s">
        <v>22</v>
      </c>
      <c r="H1593" s="8" t="s">
        <v>5196</v>
      </c>
      <c r="I1593" s="8" t="s">
        <v>203</v>
      </c>
      <c r="J1593" s="8" t="s">
        <v>22</v>
      </c>
      <c r="K1593" s="6"/>
      <c r="L1593" s="7" t="s">
        <v>22</v>
      </c>
      <c r="M1593" s="6" t="s">
        <v>40</v>
      </c>
      <c r="N1593" s="6"/>
      <c r="O1593" s="6">
        <f>HYPERLINK("https://docs.wto.org/imrd/directdoc.asp?DDFDocuments/t/G/TBTN24/EGY469A1.DOCX", "https://docs.wto.org/imrd/directdoc.asp?DDFDocuments/t/G/TBTN24/EGY469A1.DOCX")</f>
      </c>
      <c r="P1593" s="6">
        <f>HYPERLINK("https://docs.wto.org/imrd/directdoc.asp?DDFDocuments/u/G/TBTN24/EGY469A1.DOCX", "https://docs.wto.org/imrd/directdoc.asp?DDFDocuments/u/G/TBTN24/EGY469A1.DOCX")</f>
      </c>
      <c r="Q1593" s="6">
        <f>HYPERLINK("https://docs.wto.org/imrd/directdoc.asp?DDFDocuments/v/G/TBTN24/EGY469A1.DOCX", "https://docs.wto.org/imrd/directdoc.asp?DDFDocuments/v/G/TBTN24/EGY469A1.DOCX")</f>
      </c>
    </row>
    <row r="1594">
      <c r="A1594" s="6" t="s">
        <v>583</v>
      </c>
      <c r="B1594" s="7">
        <v>45574</v>
      </c>
      <c r="C1594" s="9">
        <f>HYPERLINK("https://eping.wto.org/en/Search?viewData= G/TBT/N/EGY/2/Add.29"," G/TBT/N/EGY/2/Add.29")</f>
      </c>
      <c r="D1594" s="8" t="s">
        <v>5197</v>
      </c>
      <c r="E1594" s="8" t="s">
        <v>5198</v>
      </c>
      <c r="F1594" s="8" t="s">
        <v>119</v>
      </c>
      <c r="G1594" s="8" t="s">
        <v>22</v>
      </c>
      <c r="H1594" s="8" t="s">
        <v>3764</v>
      </c>
      <c r="I1594" s="8" t="s">
        <v>22</v>
      </c>
      <c r="J1594" s="8" t="s">
        <v>2449</v>
      </c>
      <c r="K1594" s="6"/>
      <c r="L1594" s="7" t="s">
        <v>22</v>
      </c>
      <c r="M1594" s="6" t="s">
        <v>40</v>
      </c>
      <c r="N1594" s="6"/>
      <c r="O1594" s="6">
        <f>HYPERLINK("https://docs.wto.org/imrd/directdoc.asp?DDFDocuments/t/G/TBTN05/EGY2A29.DOCX", "https://docs.wto.org/imrd/directdoc.asp?DDFDocuments/t/G/TBTN05/EGY2A29.DOCX")</f>
      </c>
      <c r="P1594" s="6">
        <f>HYPERLINK("https://docs.wto.org/imrd/directdoc.asp?DDFDocuments/u/G/TBTN05/EGY2A29.DOCX", "https://docs.wto.org/imrd/directdoc.asp?DDFDocuments/u/G/TBTN05/EGY2A29.DOCX")</f>
      </c>
      <c r="Q1594" s="6">
        <f>HYPERLINK("https://docs.wto.org/imrd/directdoc.asp?DDFDocuments/v/G/TBTN05/EGY2A29.DOCX", "https://docs.wto.org/imrd/directdoc.asp?DDFDocuments/v/G/TBTN05/EGY2A29.DOCX")</f>
      </c>
    </row>
    <row r="1595">
      <c r="A1595" s="6" t="s">
        <v>732</v>
      </c>
      <c r="B1595" s="7">
        <v>45574</v>
      </c>
      <c r="C1595" s="9">
        <f>HYPERLINK("https://eping.wto.org/en/Search?viewData= G/TBT/N/MEX/531/Add.1"," G/TBT/N/MEX/531/Add.1")</f>
      </c>
      <c r="D1595" s="8" t="s">
        <v>5199</v>
      </c>
      <c r="E1595" s="8" t="s">
        <v>5200</v>
      </c>
      <c r="F1595" s="8" t="s">
        <v>5201</v>
      </c>
      <c r="G1595" s="8" t="s">
        <v>22</v>
      </c>
      <c r="H1595" s="8" t="s">
        <v>607</v>
      </c>
      <c r="I1595" s="8" t="s">
        <v>701</v>
      </c>
      <c r="J1595" s="8" t="s">
        <v>22</v>
      </c>
      <c r="K1595" s="6"/>
      <c r="L1595" s="7" t="s">
        <v>22</v>
      </c>
      <c r="M1595" s="6" t="s">
        <v>40</v>
      </c>
      <c r="N1595" s="8" t="s">
        <v>5202</v>
      </c>
      <c r="O1595" s="6">
        <f>HYPERLINK("https://docs.wto.org/imrd/directdoc.asp?DDFDocuments/t/G/TBTN24/MEX531A1.DOCX", "https://docs.wto.org/imrd/directdoc.asp?DDFDocuments/t/G/TBTN24/MEX531A1.DOCX")</f>
      </c>
      <c r="P1595" s="6">
        <f>HYPERLINK("https://docs.wto.org/imrd/directdoc.asp?DDFDocuments/u/G/TBTN24/MEX531A1.DOCX", "https://docs.wto.org/imrd/directdoc.asp?DDFDocuments/u/G/TBTN24/MEX531A1.DOCX")</f>
      </c>
      <c r="Q1595" s="6">
        <f>HYPERLINK("https://docs.wto.org/imrd/directdoc.asp?DDFDocuments/v/G/TBTN24/MEX531A1.DOCX", "https://docs.wto.org/imrd/directdoc.asp?DDFDocuments/v/G/TBTN24/MEX531A1.DOCX")</f>
      </c>
    </row>
    <row r="1596">
      <c r="A1596" s="6" t="s">
        <v>583</v>
      </c>
      <c r="B1596" s="7">
        <v>45574</v>
      </c>
      <c r="C1596" s="9">
        <f>HYPERLINK("https://eping.wto.org/en/Search?viewData= G/TBT/N/EGY/157/Add.8"," G/TBT/N/EGY/157/Add.8")</f>
      </c>
      <c r="D1596" s="8" t="s">
        <v>5203</v>
      </c>
      <c r="E1596" s="8" t="s">
        <v>5204</v>
      </c>
      <c r="F1596" s="8" t="s">
        <v>998</v>
      </c>
      <c r="G1596" s="8" t="s">
        <v>22</v>
      </c>
      <c r="H1596" s="8" t="s">
        <v>999</v>
      </c>
      <c r="I1596" s="8" t="s">
        <v>39</v>
      </c>
      <c r="J1596" s="8" t="s">
        <v>22</v>
      </c>
      <c r="K1596" s="6"/>
      <c r="L1596" s="7" t="s">
        <v>22</v>
      </c>
      <c r="M1596" s="6" t="s">
        <v>40</v>
      </c>
      <c r="N1596" s="6"/>
      <c r="O1596" s="6">
        <f>HYPERLINK("https://docs.wto.org/imrd/directdoc.asp?DDFDocuments/t/G/TBTN16/EGY158A8.DOCX", "https://docs.wto.org/imrd/directdoc.asp?DDFDocuments/t/G/TBTN16/EGY158A8.DOCX")</f>
      </c>
      <c r="P1596" s="6">
        <f>HYPERLINK("https://docs.wto.org/imrd/directdoc.asp?DDFDocuments/u/G/TBTN16/EGY158A8.DOCX", "https://docs.wto.org/imrd/directdoc.asp?DDFDocuments/u/G/TBTN16/EGY158A8.DOCX")</f>
      </c>
      <c r="Q1596" s="6">
        <f>HYPERLINK("https://docs.wto.org/imrd/directdoc.asp?DDFDocuments/v/G/TBTN16/EGY158A8.DOCX", "https://docs.wto.org/imrd/directdoc.asp?DDFDocuments/v/G/TBTN16/EGY158A8.DOCX")</f>
      </c>
    </row>
    <row r="1597">
      <c r="A1597" s="6" t="s">
        <v>583</v>
      </c>
      <c r="B1597" s="7">
        <v>45574</v>
      </c>
      <c r="C1597" s="9">
        <f>HYPERLINK("https://eping.wto.org/en/Search?viewData= G/TBT/N/EGY/399/Add.1"," G/TBT/N/EGY/399/Add.1")</f>
      </c>
      <c r="D1597" s="8" t="s">
        <v>5205</v>
      </c>
      <c r="E1597" s="8" t="s">
        <v>5206</v>
      </c>
      <c r="F1597" s="8" t="s">
        <v>5207</v>
      </c>
      <c r="G1597" s="8" t="s">
        <v>22</v>
      </c>
      <c r="H1597" s="8" t="s">
        <v>5208</v>
      </c>
      <c r="I1597" s="8" t="s">
        <v>203</v>
      </c>
      <c r="J1597" s="8" t="s">
        <v>22</v>
      </c>
      <c r="K1597" s="6"/>
      <c r="L1597" s="7" t="s">
        <v>22</v>
      </c>
      <c r="M1597" s="6" t="s">
        <v>40</v>
      </c>
      <c r="N1597" s="6"/>
      <c r="O1597" s="6">
        <f>HYPERLINK("https://docs.wto.org/imrd/directdoc.asp?DDFDocuments/t/G/TBTN24/EGY399A1.DOCX", "https://docs.wto.org/imrd/directdoc.asp?DDFDocuments/t/G/TBTN24/EGY399A1.DOCX")</f>
      </c>
      <c r="P1597" s="6">
        <f>HYPERLINK("https://docs.wto.org/imrd/directdoc.asp?DDFDocuments/u/G/TBTN24/EGY399A1.DOCX", "https://docs.wto.org/imrd/directdoc.asp?DDFDocuments/u/G/TBTN24/EGY399A1.DOCX")</f>
      </c>
      <c r="Q1597" s="6">
        <f>HYPERLINK("https://docs.wto.org/imrd/directdoc.asp?DDFDocuments/v/G/TBTN24/EGY399A1.DOCX", "https://docs.wto.org/imrd/directdoc.asp?DDFDocuments/v/G/TBTN24/EGY399A1.DOCX")</f>
      </c>
    </row>
    <row r="1598">
      <c r="A1598" s="6" t="s">
        <v>583</v>
      </c>
      <c r="B1598" s="7">
        <v>45574</v>
      </c>
      <c r="C1598" s="9">
        <f>HYPERLINK("https://eping.wto.org/en/Search?viewData= G/TBT/N/EGY/2/Add.26"," G/TBT/N/EGY/2/Add.26")</f>
      </c>
      <c r="D1598" s="8" t="s">
        <v>5209</v>
      </c>
      <c r="E1598" s="8" t="s">
        <v>5210</v>
      </c>
      <c r="F1598" s="8" t="s">
        <v>119</v>
      </c>
      <c r="G1598" s="8" t="s">
        <v>22</v>
      </c>
      <c r="H1598" s="8" t="s">
        <v>893</v>
      </c>
      <c r="I1598" s="8" t="s">
        <v>22</v>
      </c>
      <c r="J1598" s="8" t="s">
        <v>2449</v>
      </c>
      <c r="K1598" s="6"/>
      <c r="L1598" s="7" t="s">
        <v>22</v>
      </c>
      <c r="M1598" s="6" t="s">
        <v>40</v>
      </c>
      <c r="N1598" s="6"/>
      <c r="O1598" s="6">
        <f>HYPERLINK("https://docs.wto.org/imrd/directdoc.asp?DDFDocuments/t/G/TBTN05/EGY2A26.DOCX", "https://docs.wto.org/imrd/directdoc.asp?DDFDocuments/t/G/TBTN05/EGY2A26.DOCX")</f>
      </c>
      <c r="P1598" s="6">
        <f>HYPERLINK("https://docs.wto.org/imrd/directdoc.asp?DDFDocuments/u/G/TBTN05/EGY2A26.DOCX", "https://docs.wto.org/imrd/directdoc.asp?DDFDocuments/u/G/TBTN05/EGY2A26.DOCX")</f>
      </c>
      <c r="Q1598" s="6">
        <f>HYPERLINK("https://docs.wto.org/imrd/directdoc.asp?DDFDocuments/v/G/TBTN05/EGY2A26.DOCX", "https://docs.wto.org/imrd/directdoc.asp?DDFDocuments/v/G/TBTN05/EGY2A26.DOCX")</f>
      </c>
    </row>
    <row r="1599">
      <c r="A1599" s="6" t="s">
        <v>82</v>
      </c>
      <c r="B1599" s="7">
        <v>45574</v>
      </c>
      <c r="C1599" s="9">
        <f>HYPERLINK("https://eping.wto.org/en/Search?viewData= G/SPS/N/BRA/2308/Add.1"," G/SPS/N/BRA/2308/Add.1")</f>
      </c>
      <c r="D1599" s="8" t="s">
        <v>5211</v>
      </c>
      <c r="E1599" s="8" t="s">
        <v>5212</v>
      </c>
      <c r="F1599" s="8" t="s">
        <v>212</v>
      </c>
      <c r="G1599" s="8" t="s">
        <v>22</v>
      </c>
      <c r="H1599" s="8" t="s">
        <v>213</v>
      </c>
      <c r="I1599" s="8" t="s">
        <v>120</v>
      </c>
      <c r="J1599" s="8" t="s">
        <v>214</v>
      </c>
      <c r="K1599" s="6"/>
      <c r="L1599" s="7">
        <v>45634</v>
      </c>
      <c r="M1599" s="6" t="s">
        <v>40</v>
      </c>
      <c r="N1599" s="8" t="s">
        <v>5213</v>
      </c>
      <c r="O1599" s="6">
        <f>HYPERLINK("https://docs.wto.org/imrd/directdoc.asp?DDFDocuments/t/G/SPS/NBRA2308A1.DOCX", "https://docs.wto.org/imrd/directdoc.asp?DDFDocuments/t/G/SPS/NBRA2308A1.DOCX")</f>
      </c>
      <c r="P1599" s="6">
        <f>HYPERLINK("https://docs.wto.org/imrd/directdoc.asp?DDFDocuments/u/G/SPS/NBRA2308A1.DOCX", "https://docs.wto.org/imrd/directdoc.asp?DDFDocuments/u/G/SPS/NBRA2308A1.DOCX")</f>
      </c>
      <c r="Q1599" s="6">
        <f>HYPERLINK("https://docs.wto.org/imrd/directdoc.asp?DDFDocuments/v/G/SPS/NBRA2308A1.DOCX", "https://docs.wto.org/imrd/directdoc.asp?DDFDocuments/v/G/SPS/NBRA2308A1.DOCX")</f>
      </c>
    </row>
    <row r="1600">
      <c r="A1600" s="6" t="s">
        <v>583</v>
      </c>
      <c r="B1600" s="7">
        <v>45574</v>
      </c>
      <c r="C1600" s="9">
        <f>HYPERLINK("https://eping.wto.org/en/Search?viewData= G/SPS/N/EGY/39/Add.9"," G/SPS/N/EGY/39/Add.9")</f>
      </c>
      <c r="D1600" s="8" t="s">
        <v>5214</v>
      </c>
      <c r="E1600" s="8" t="s">
        <v>5215</v>
      </c>
      <c r="F1600" s="8" t="s">
        <v>5216</v>
      </c>
      <c r="G1600" s="8" t="s">
        <v>5217</v>
      </c>
      <c r="H1600" s="8" t="s">
        <v>22</v>
      </c>
      <c r="I1600" s="8" t="s">
        <v>120</v>
      </c>
      <c r="J1600" s="8" t="s">
        <v>1903</v>
      </c>
      <c r="K1600" s="6"/>
      <c r="L1600" s="7" t="s">
        <v>22</v>
      </c>
      <c r="M1600" s="6" t="s">
        <v>40</v>
      </c>
      <c r="N1600" s="6"/>
      <c r="O1600" s="6">
        <f>HYPERLINK("https://docs.wto.org/imrd/directdoc.asp?DDFDocuments/t/G/SPS/NEGY39A9.DOCX", "https://docs.wto.org/imrd/directdoc.asp?DDFDocuments/t/G/SPS/NEGY39A9.DOCX")</f>
      </c>
      <c r="P1600" s="6">
        <f>HYPERLINK("https://docs.wto.org/imrd/directdoc.asp?DDFDocuments/u/G/SPS/NEGY39A9.DOCX", "https://docs.wto.org/imrd/directdoc.asp?DDFDocuments/u/G/SPS/NEGY39A9.DOCX")</f>
      </c>
      <c r="Q1600" s="6">
        <f>HYPERLINK("https://docs.wto.org/imrd/directdoc.asp?DDFDocuments/v/G/SPS/NEGY39A9.DOCX", "https://docs.wto.org/imrd/directdoc.asp?DDFDocuments/v/G/SPS/NEGY39A9.DOCX")</f>
      </c>
    </row>
    <row r="1601">
      <c r="A1601" s="6" t="s">
        <v>583</v>
      </c>
      <c r="B1601" s="7">
        <v>45574</v>
      </c>
      <c r="C1601" s="9">
        <f>HYPERLINK("https://eping.wto.org/en/Search?viewData= G/TBT/N/EGY/473/Add.1"," G/TBT/N/EGY/473/Add.1")</f>
      </c>
      <c r="D1601" s="8" t="s">
        <v>5218</v>
      </c>
      <c r="E1601" s="8" t="s">
        <v>5219</v>
      </c>
      <c r="F1601" s="8" t="s">
        <v>3899</v>
      </c>
      <c r="G1601" s="8" t="s">
        <v>22</v>
      </c>
      <c r="H1601" s="8" t="s">
        <v>5179</v>
      </c>
      <c r="I1601" s="8" t="s">
        <v>138</v>
      </c>
      <c r="J1601" s="8" t="s">
        <v>22</v>
      </c>
      <c r="K1601" s="6"/>
      <c r="L1601" s="7" t="s">
        <v>22</v>
      </c>
      <c r="M1601" s="6" t="s">
        <v>40</v>
      </c>
      <c r="N1601" s="6"/>
      <c r="O1601" s="6">
        <f>HYPERLINK("https://docs.wto.org/imrd/directdoc.asp?DDFDocuments/t/G/TBTN24/EGY473A1.DOCX", "https://docs.wto.org/imrd/directdoc.asp?DDFDocuments/t/G/TBTN24/EGY473A1.DOCX")</f>
      </c>
      <c r="P1601" s="6">
        <f>HYPERLINK("https://docs.wto.org/imrd/directdoc.asp?DDFDocuments/u/G/TBTN24/EGY473A1.DOCX", "https://docs.wto.org/imrd/directdoc.asp?DDFDocuments/u/G/TBTN24/EGY473A1.DOCX")</f>
      </c>
      <c r="Q1601" s="6">
        <f>HYPERLINK("https://docs.wto.org/imrd/directdoc.asp?DDFDocuments/v/G/TBTN24/EGY473A1.DOCX", "https://docs.wto.org/imrd/directdoc.asp?DDFDocuments/v/G/TBTN24/EGY473A1.DOCX")</f>
      </c>
    </row>
    <row r="1602">
      <c r="A1602" s="6" t="s">
        <v>583</v>
      </c>
      <c r="B1602" s="7">
        <v>45574</v>
      </c>
      <c r="C1602" s="9">
        <f>HYPERLINK("https://eping.wto.org/en/Search?viewData= G/TBT/N/EGY/405/Add.1"," G/TBT/N/EGY/405/Add.1")</f>
      </c>
      <c r="D1602" s="8" t="s">
        <v>5220</v>
      </c>
      <c r="E1602" s="8" t="s">
        <v>5221</v>
      </c>
      <c r="F1602" s="8" t="s">
        <v>5222</v>
      </c>
      <c r="G1602" s="8" t="s">
        <v>22</v>
      </c>
      <c r="H1602" s="8" t="s">
        <v>5223</v>
      </c>
      <c r="I1602" s="8" t="s">
        <v>203</v>
      </c>
      <c r="J1602" s="8" t="s">
        <v>22</v>
      </c>
      <c r="K1602" s="6"/>
      <c r="L1602" s="7" t="s">
        <v>22</v>
      </c>
      <c r="M1602" s="6" t="s">
        <v>40</v>
      </c>
      <c r="N1602" s="6"/>
      <c r="O1602" s="6">
        <f>HYPERLINK("https://docs.wto.org/imrd/directdoc.asp?DDFDocuments/t/G/TBTN24/EGY405A1.DOCX", "https://docs.wto.org/imrd/directdoc.asp?DDFDocuments/t/G/TBTN24/EGY405A1.DOCX")</f>
      </c>
      <c r="P1602" s="6">
        <f>HYPERLINK("https://docs.wto.org/imrd/directdoc.asp?DDFDocuments/u/G/TBTN24/EGY405A1.DOCX", "https://docs.wto.org/imrd/directdoc.asp?DDFDocuments/u/G/TBTN24/EGY405A1.DOCX")</f>
      </c>
      <c r="Q1602" s="6">
        <f>HYPERLINK("https://docs.wto.org/imrd/directdoc.asp?DDFDocuments/v/G/TBTN24/EGY405A1.DOCX", "https://docs.wto.org/imrd/directdoc.asp?DDFDocuments/v/G/TBTN24/EGY405A1.DOCX")</f>
      </c>
    </row>
    <row r="1603">
      <c r="A1603" s="6" t="s">
        <v>583</v>
      </c>
      <c r="B1603" s="7">
        <v>45574</v>
      </c>
      <c r="C1603" s="9">
        <f>HYPERLINK("https://eping.wto.org/en/Search?viewData= G/TBT/N/EGY/470/Add.1"," G/TBT/N/EGY/470/Add.1")</f>
      </c>
      <c r="D1603" s="8" t="s">
        <v>5224</v>
      </c>
      <c r="E1603" s="8" t="s">
        <v>5225</v>
      </c>
      <c r="F1603" s="8" t="s">
        <v>5195</v>
      </c>
      <c r="G1603" s="8" t="s">
        <v>22</v>
      </c>
      <c r="H1603" s="8" t="s">
        <v>5196</v>
      </c>
      <c r="I1603" s="8" t="s">
        <v>203</v>
      </c>
      <c r="J1603" s="8" t="s">
        <v>22</v>
      </c>
      <c r="K1603" s="6"/>
      <c r="L1603" s="7" t="s">
        <v>22</v>
      </c>
      <c r="M1603" s="6" t="s">
        <v>40</v>
      </c>
      <c r="N1603" s="6"/>
      <c r="O1603" s="6">
        <f>HYPERLINK("https://docs.wto.org/imrd/directdoc.asp?DDFDocuments/t/G/TBTN24/EGY470A1.DOCX", "https://docs.wto.org/imrd/directdoc.asp?DDFDocuments/t/G/TBTN24/EGY470A1.DOCX")</f>
      </c>
      <c r="P1603" s="6">
        <f>HYPERLINK("https://docs.wto.org/imrd/directdoc.asp?DDFDocuments/u/G/TBTN24/EGY470A1.DOCX", "https://docs.wto.org/imrd/directdoc.asp?DDFDocuments/u/G/TBTN24/EGY470A1.DOCX")</f>
      </c>
      <c r="Q1603" s="6">
        <f>HYPERLINK("https://docs.wto.org/imrd/directdoc.asp?DDFDocuments/v/G/TBTN24/EGY470A1.DOCX", "https://docs.wto.org/imrd/directdoc.asp?DDFDocuments/v/G/TBTN24/EGY470A1.DOCX")</f>
      </c>
    </row>
    <row r="1604">
      <c r="A1604" s="6" t="s">
        <v>583</v>
      </c>
      <c r="B1604" s="7">
        <v>45574</v>
      </c>
      <c r="C1604" s="9">
        <f>HYPERLINK("https://eping.wto.org/en/Search?viewData= G/TBT/N/EGY/359/Add.2"," G/TBT/N/EGY/359/Add.2")</f>
      </c>
      <c r="D1604" s="8" t="s">
        <v>5226</v>
      </c>
      <c r="E1604" s="8" t="s">
        <v>5227</v>
      </c>
      <c r="F1604" s="8" t="s">
        <v>5228</v>
      </c>
      <c r="G1604" s="8" t="s">
        <v>22</v>
      </c>
      <c r="H1604" s="8" t="s">
        <v>1940</v>
      </c>
      <c r="I1604" s="8" t="s">
        <v>203</v>
      </c>
      <c r="J1604" s="8" t="s">
        <v>22</v>
      </c>
      <c r="K1604" s="6"/>
      <c r="L1604" s="7" t="s">
        <v>22</v>
      </c>
      <c r="M1604" s="6" t="s">
        <v>40</v>
      </c>
      <c r="N1604" s="6"/>
      <c r="O1604" s="6">
        <f>HYPERLINK("https://docs.wto.org/imrd/directdoc.asp?DDFDocuments/t/G/TBTN23/EGY359A2.DOCX", "https://docs.wto.org/imrd/directdoc.asp?DDFDocuments/t/G/TBTN23/EGY359A2.DOCX")</f>
      </c>
      <c r="P1604" s="6">
        <f>HYPERLINK("https://docs.wto.org/imrd/directdoc.asp?DDFDocuments/u/G/TBTN23/EGY359A2.DOCX", "https://docs.wto.org/imrd/directdoc.asp?DDFDocuments/u/G/TBTN23/EGY359A2.DOCX")</f>
      </c>
      <c r="Q1604" s="6">
        <f>HYPERLINK("https://docs.wto.org/imrd/directdoc.asp?DDFDocuments/v/G/TBTN23/EGY359A2.DOCX", "https://docs.wto.org/imrd/directdoc.asp?DDFDocuments/v/G/TBTN23/EGY359A2.DOCX")</f>
      </c>
    </row>
    <row r="1605">
      <c r="A1605" s="6" t="s">
        <v>583</v>
      </c>
      <c r="B1605" s="7">
        <v>45574</v>
      </c>
      <c r="C1605" s="9">
        <f>HYPERLINK("https://eping.wto.org/en/Search?viewData= G/TBT/N/EGY/3/Add.84"," G/TBT/N/EGY/3/Add.84")</f>
      </c>
      <c r="D1605" s="8" t="s">
        <v>5229</v>
      </c>
      <c r="E1605" s="8" t="s">
        <v>5230</v>
      </c>
      <c r="F1605" s="8" t="s">
        <v>754</v>
      </c>
      <c r="G1605" s="8" t="s">
        <v>22</v>
      </c>
      <c r="H1605" s="8" t="s">
        <v>5231</v>
      </c>
      <c r="I1605" s="8" t="s">
        <v>22</v>
      </c>
      <c r="J1605" s="8" t="s">
        <v>22</v>
      </c>
      <c r="K1605" s="6"/>
      <c r="L1605" s="7" t="s">
        <v>22</v>
      </c>
      <c r="M1605" s="6" t="s">
        <v>40</v>
      </c>
      <c r="N1605" s="6"/>
      <c r="O1605" s="6">
        <f>HYPERLINK("https://docs.wto.org/imrd/directdoc.asp?DDFDocuments/t/G/TBTN05/EGY3A84.DOCX", "https://docs.wto.org/imrd/directdoc.asp?DDFDocuments/t/G/TBTN05/EGY3A84.DOCX")</f>
      </c>
      <c r="P1605" s="6">
        <f>HYPERLINK("https://docs.wto.org/imrd/directdoc.asp?DDFDocuments/u/G/TBTN05/EGY3A84.DOCX", "https://docs.wto.org/imrd/directdoc.asp?DDFDocuments/u/G/TBTN05/EGY3A84.DOCX")</f>
      </c>
      <c r="Q1605" s="6">
        <f>HYPERLINK("https://docs.wto.org/imrd/directdoc.asp?DDFDocuments/v/G/TBTN05/EGY3A84.DOCX", "https://docs.wto.org/imrd/directdoc.asp?DDFDocuments/v/G/TBTN05/EGY3A84.DOCX")</f>
      </c>
    </row>
    <row r="1606">
      <c r="A1606" s="6" t="s">
        <v>583</v>
      </c>
      <c r="B1606" s="7">
        <v>45574</v>
      </c>
      <c r="C1606" s="9">
        <f>HYPERLINK("https://eping.wto.org/en/Search?viewData= G/SPS/N/EGY/92/Add.9"," G/SPS/N/EGY/92/Add.9")</f>
      </c>
      <c r="D1606" s="8" t="s">
        <v>119</v>
      </c>
      <c r="E1606" s="8" t="s">
        <v>5232</v>
      </c>
      <c r="F1606" s="8" t="s">
        <v>119</v>
      </c>
      <c r="G1606" s="8" t="s">
        <v>22</v>
      </c>
      <c r="H1606" s="8" t="s">
        <v>22</v>
      </c>
      <c r="I1606" s="8" t="s">
        <v>120</v>
      </c>
      <c r="J1606" s="8" t="s">
        <v>5233</v>
      </c>
      <c r="K1606" s="6"/>
      <c r="L1606" s="7" t="s">
        <v>22</v>
      </c>
      <c r="M1606" s="6" t="s">
        <v>40</v>
      </c>
      <c r="N1606" s="6"/>
      <c r="O1606" s="6">
        <f>HYPERLINK("https://docs.wto.org/imrd/directdoc.asp?DDFDocuments/t/G/SPS/NEGY92A9.DOCX", "https://docs.wto.org/imrd/directdoc.asp?DDFDocuments/t/G/SPS/NEGY92A9.DOCX")</f>
      </c>
      <c r="P1606" s="6">
        <f>HYPERLINK("https://docs.wto.org/imrd/directdoc.asp?DDFDocuments/u/G/SPS/NEGY92A9.DOCX", "https://docs.wto.org/imrd/directdoc.asp?DDFDocuments/u/G/SPS/NEGY92A9.DOCX")</f>
      </c>
      <c r="Q1606" s="6">
        <f>HYPERLINK("https://docs.wto.org/imrd/directdoc.asp?DDFDocuments/v/G/SPS/NEGY92A9.DOCX", "https://docs.wto.org/imrd/directdoc.asp?DDFDocuments/v/G/SPS/NEGY92A9.DOCX")</f>
      </c>
    </row>
    <row r="1607">
      <c r="A1607" s="6" t="s">
        <v>418</v>
      </c>
      <c r="B1607" s="7">
        <v>45574</v>
      </c>
      <c r="C1607" s="9">
        <f>HYPERLINK("https://eping.wto.org/en/Search?viewData= G/SPS/N/EU/715/Add.1"," G/SPS/N/EU/715/Add.1")</f>
      </c>
      <c r="D1607" s="8" t="s">
        <v>5234</v>
      </c>
      <c r="E1607" s="8" t="s">
        <v>5235</v>
      </c>
      <c r="F1607" s="8" t="s">
        <v>1643</v>
      </c>
      <c r="G1607" s="8" t="s">
        <v>5236</v>
      </c>
      <c r="H1607" s="8" t="s">
        <v>22</v>
      </c>
      <c r="I1607" s="8" t="s">
        <v>120</v>
      </c>
      <c r="J1607" s="8" t="s">
        <v>5237</v>
      </c>
      <c r="K1607" s="6"/>
      <c r="L1607" s="7" t="s">
        <v>22</v>
      </c>
      <c r="M1607" s="6" t="s">
        <v>40</v>
      </c>
      <c r="N1607" s="8" t="s">
        <v>5238</v>
      </c>
      <c r="O1607" s="6">
        <f>HYPERLINK("https://docs.wto.org/imrd/directdoc.asp?DDFDocuments/t/G/SPS/NEU715A1.DOCX", "https://docs.wto.org/imrd/directdoc.asp?DDFDocuments/t/G/SPS/NEU715A1.DOCX")</f>
      </c>
      <c r="P1607" s="6">
        <f>HYPERLINK("https://docs.wto.org/imrd/directdoc.asp?DDFDocuments/u/G/SPS/NEU715A1.DOCX", "https://docs.wto.org/imrd/directdoc.asp?DDFDocuments/u/G/SPS/NEU715A1.DOCX")</f>
      </c>
      <c r="Q1607" s="6">
        <f>HYPERLINK("https://docs.wto.org/imrd/directdoc.asp?DDFDocuments/v/G/SPS/NEU715A1.DOCX", "https://docs.wto.org/imrd/directdoc.asp?DDFDocuments/v/G/SPS/NEU715A1.DOCX")</f>
      </c>
    </row>
    <row r="1608">
      <c r="A1608" s="6" t="s">
        <v>68</v>
      </c>
      <c r="B1608" s="7">
        <v>45574</v>
      </c>
      <c r="C1608" s="9">
        <f>HYPERLINK("https://eping.wto.org/en/Search?viewData= G/TBT/N/UGA/2022"," G/TBT/N/UGA/2022")</f>
      </c>
      <c r="D1608" s="8" t="s">
        <v>5239</v>
      </c>
      <c r="E1608" s="8" t="s">
        <v>5240</v>
      </c>
      <c r="F1608" s="8" t="s">
        <v>5049</v>
      </c>
      <c r="G1608" s="8" t="s">
        <v>5050</v>
      </c>
      <c r="H1608" s="8" t="s">
        <v>2329</v>
      </c>
      <c r="I1608" s="8" t="s">
        <v>5241</v>
      </c>
      <c r="J1608" s="8" t="s">
        <v>58</v>
      </c>
      <c r="K1608" s="6"/>
      <c r="L1608" s="7">
        <v>45634</v>
      </c>
      <c r="M1608" s="6" t="s">
        <v>32</v>
      </c>
      <c r="N1608" s="8" t="s">
        <v>5242</v>
      </c>
      <c r="O1608" s="6">
        <f>HYPERLINK("https://docs.wto.org/imrd/directdoc.asp?DDFDocuments/t/G/TBTN24/UGA2022.DOCX", "https://docs.wto.org/imrd/directdoc.asp?DDFDocuments/t/G/TBTN24/UGA2022.DOCX")</f>
      </c>
      <c r="P1608" s="6">
        <f>HYPERLINK("https://docs.wto.org/imrd/directdoc.asp?DDFDocuments/u/G/TBTN24/UGA2022.DOCX", "https://docs.wto.org/imrd/directdoc.asp?DDFDocuments/u/G/TBTN24/UGA2022.DOCX")</f>
      </c>
      <c r="Q1608" s="6">
        <f>HYPERLINK("https://docs.wto.org/imrd/directdoc.asp?DDFDocuments/v/G/TBTN24/UGA2022.DOCX", "https://docs.wto.org/imrd/directdoc.asp?DDFDocuments/v/G/TBTN24/UGA2022.DOCX")</f>
      </c>
    </row>
    <row r="1609">
      <c r="A1609" s="6" t="s">
        <v>583</v>
      </c>
      <c r="B1609" s="7">
        <v>45574</v>
      </c>
      <c r="C1609" s="9">
        <f>HYPERLINK("https://eping.wto.org/en/Search?viewData= G/TBT/N/EGY/486"," G/TBT/N/EGY/486")</f>
      </c>
      <c r="D1609" s="8" t="s">
        <v>5243</v>
      </c>
      <c r="E1609" s="8" t="s">
        <v>5244</v>
      </c>
      <c r="F1609" s="8" t="s">
        <v>5186</v>
      </c>
      <c r="G1609" s="8" t="s">
        <v>22</v>
      </c>
      <c r="H1609" s="8" t="s">
        <v>5187</v>
      </c>
      <c r="I1609" s="8" t="s">
        <v>138</v>
      </c>
      <c r="J1609" s="8" t="s">
        <v>22</v>
      </c>
      <c r="K1609" s="6"/>
      <c r="L1609" s="7">
        <v>45634</v>
      </c>
      <c r="M1609" s="6" t="s">
        <v>32</v>
      </c>
      <c r="N1609" s="6"/>
      <c r="O1609" s="6">
        <f>HYPERLINK("https://docs.wto.org/imrd/directdoc.asp?DDFDocuments/t/G/TBTN24/EGY486.DOCX", "https://docs.wto.org/imrd/directdoc.asp?DDFDocuments/t/G/TBTN24/EGY486.DOCX")</f>
      </c>
      <c r="P1609" s="6">
        <f>HYPERLINK("https://docs.wto.org/imrd/directdoc.asp?DDFDocuments/u/G/TBTN24/EGY486.DOCX", "https://docs.wto.org/imrd/directdoc.asp?DDFDocuments/u/G/TBTN24/EGY486.DOCX")</f>
      </c>
      <c r="Q1609" s="6">
        <f>HYPERLINK("https://docs.wto.org/imrd/directdoc.asp?DDFDocuments/v/G/TBTN24/EGY486.DOCX", "https://docs.wto.org/imrd/directdoc.asp?DDFDocuments/v/G/TBTN24/EGY486.DOCX")</f>
      </c>
    </row>
    <row r="1610">
      <c r="A1610" s="6" t="s">
        <v>583</v>
      </c>
      <c r="B1610" s="7">
        <v>45574</v>
      </c>
      <c r="C1610" s="9">
        <f>HYPERLINK("https://eping.wto.org/en/Search?viewData= G/TBT/N/EGY/2/Add.28"," G/TBT/N/EGY/2/Add.28")</f>
      </c>
      <c r="D1610" s="8" t="s">
        <v>5245</v>
      </c>
      <c r="E1610" s="8" t="s">
        <v>5246</v>
      </c>
      <c r="F1610" s="8" t="s">
        <v>119</v>
      </c>
      <c r="G1610" s="8" t="s">
        <v>22</v>
      </c>
      <c r="H1610" s="8" t="s">
        <v>3764</v>
      </c>
      <c r="I1610" s="8" t="s">
        <v>22</v>
      </c>
      <c r="J1610" s="8" t="s">
        <v>2358</v>
      </c>
      <c r="K1610" s="6"/>
      <c r="L1610" s="7" t="s">
        <v>22</v>
      </c>
      <c r="M1610" s="6" t="s">
        <v>40</v>
      </c>
      <c r="N1610" s="6"/>
      <c r="O1610" s="6">
        <f>HYPERLINK("https://docs.wto.org/imrd/directdoc.asp?DDFDocuments/t/G/TBTN05/EGY2A28.DOCX", "https://docs.wto.org/imrd/directdoc.asp?DDFDocuments/t/G/TBTN05/EGY2A28.DOCX")</f>
      </c>
      <c r="P1610" s="6">
        <f>HYPERLINK("https://docs.wto.org/imrd/directdoc.asp?DDFDocuments/u/G/TBTN05/EGY2A28.DOCX", "https://docs.wto.org/imrd/directdoc.asp?DDFDocuments/u/G/TBTN05/EGY2A28.DOCX")</f>
      </c>
      <c r="Q1610" s="6">
        <f>HYPERLINK("https://docs.wto.org/imrd/directdoc.asp?DDFDocuments/v/G/TBTN05/EGY2A28.DOCX", "https://docs.wto.org/imrd/directdoc.asp?DDFDocuments/v/G/TBTN05/EGY2A28.DOCX")</f>
      </c>
    </row>
    <row r="1611">
      <c r="A1611" s="6" t="s">
        <v>68</v>
      </c>
      <c r="B1611" s="7">
        <v>45574</v>
      </c>
      <c r="C1611" s="9">
        <f>HYPERLINK("https://eping.wto.org/en/Search?viewData= G/TBT/N/UGA/2020"," G/TBT/N/UGA/2020")</f>
      </c>
      <c r="D1611" s="8" t="s">
        <v>5247</v>
      </c>
      <c r="E1611" s="8" t="s">
        <v>5248</v>
      </c>
      <c r="F1611" s="8" t="s">
        <v>5049</v>
      </c>
      <c r="G1611" s="8" t="s">
        <v>5050</v>
      </c>
      <c r="H1611" s="8" t="s">
        <v>2329</v>
      </c>
      <c r="I1611" s="8" t="s">
        <v>2854</v>
      </c>
      <c r="J1611" s="8" t="s">
        <v>58</v>
      </c>
      <c r="K1611" s="6"/>
      <c r="L1611" s="7">
        <v>45634</v>
      </c>
      <c r="M1611" s="6" t="s">
        <v>32</v>
      </c>
      <c r="N1611" s="8" t="s">
        <v>5249</v>
      </c>
      <c r="O1611" s="6">
        <f>HYPERLINK("https://docs.wto.org/imrd/directdoc.asp?DDFDocuments/t/G/TBTN24/UGA2020.DOCX", "https://docs.wto.org/imrd/directdoc.asp?DDFDocuments/t/G/TBTN24/UGA2020.DOCX")</f>
      </c>
      <c r="P1611" s="6">
        <f>HYPERLINK("https://docs.wto.org/imrd/directdoc.asp?DDFDocuments/u/G/TBTN24/UGA2020.DOCX", "https://docs.wto.org/imrd/directdoc.asp?DDFDocuments/u/G/TBTN24/UGA2020.DOCX")</f>
      </c>
      <c r="Q1611" s="6">
        <f>HYPERLINK("https://docs.wto.org/imrd/directdoc.asp?DDFDocuments/v/G/TBTN24/UGA2020.DOCX", "https://docs.wto.org/imrd/directdoc.asp?DDFDocuments/v/G/TBTN24/UGA2020.DOCX")</f>
      </c>
    </row>
    <row r="1612">
      <c r="A1612" s="6" t="s">
        <v>1443</v>
      </c>
      <c r="B1612" s="7">
        <v>45574</v>
      </c>
      <c r="C1612" s="9">
        <f>HYPERLINK("https://eping.wto.org/en/Search?viewData= G/TBT/N/IDN/101/Add.4"," G/TBT/N/IDN/101/Add.4")</f>
      </c>
      <c r="D1612" s="8" t="s">
        <v>5250</v>
      </c>
      <c r="E1612" s="8" t="s">
        <v>5251</v>
      </c>
      <c r="F1612" s="8" t="s">
        <v>149</v>
      </c>
      <c r="G1612" s="8" t="s">
        <v>22</v>
      </c>
      <c r="H1612" s="8" t="s">
        <v>5252</v>
      </c>
      <c r="I1612" s="8" t="s">
        <v>39</v>
      </c>
      <c r="J1612" s="8" t="s">
        <v>81</v>
      </c>
      <c r="K1612" s="6"/>
      <c r="L1612" s="7" t="s">
        <v>22</v>
      </c>
      <c r="M1612" s="6" t="s">
        <v>40</v>
      </c>
      <c r="N1612" s="8" t="s">
        <v>5253</v>
      </c>
      <c r="O1612" s="6">
        <f>HYPERLINK("https://docs.wto.org/imrd/directdoc.asp?DDFDocuments/t/G/TBTN15/IDN101A4.DOCX", "https://docs.wto.org/imrd/directdoc.asp?DDFDocuments/t/G/TBTN15/IDN101A4.DOCX")</f>
      </c>
      <c r="P1612" s="6">
        <f>HYPERLINK("https://docs.wto.org/imrd/directdoc.asp?DDFDocuments/u/G/TBTN15/IDN101A4.DOCX", "https://docs.wto.org/imrd/directdoc.asp?DDFDocuments/u/G/TBTN15/IDN101A4.DOCX")</f>
      </c>
      <c r="Q1612" s="6">
        <f>HYPERLINK("https://docs.wto.org/imrd/directdoc.asp?DDFDocuments/v/G/TBTN15/IDN101A4.DOCX", "https://docs.wto.org/imrd/directdoc.asp?DDFDocuments/v/G/TBTN15/IDN101A4.DOCX")</f>
      </c>
    </row>
    <row r="1613">
      <c r="A1613" s="6" t="s">
        <v>583</v>
      </c>
      <c r="B1613" s="7">
        <v>45574</v>
      </c>
      <c r="C1613" s="9">
        <f>HYPERLINK("https://eping.wto.org/en/Search?viewData= G/TBT/N/EGY/99/Add.1"," G/TBT/N/EGY/99/Add.1")</f>
      </c>
      <c r="D1613" s="8" t="s">
        <v>5254</v>
      </c>
      <c r="E1613" s="8" t="s">
        <v>5255</v>
      </c>
      <c r="F1613" s="8" t="s">
        <v>5256</v>
      </c>
      <c r="G1613" s="8" t="s">
        <v>22</v>
      </c>
      <c r="H1613" s="8" t="s">
        <v>5122</v>
      </c>
      <c r="I1613" s="8" t="s">
        <v>641</v>
      </c>
      <c r="J1613" s="8" t="s">
        <v>22</v>
      </c>
      <c r="K1613" s="6"/>
      <c r="L1613" s="7" t="s">
        <v>22</v>
      </c>
      <c r="M1613" s="6" t="s">
        <v>40</v>
      </c>
      <c r="N1613" s="8" t="s">
        <v>5257</v>
      </c>
      <c r="O1613" s="6">
        <f>HYPERLINK("https://docs.wto.org/imrd/directdoc.asp?DDFDocuments/t/G/TBTN15/EGY99A1.DOCX", "https://docs.wto.org/imrd/directdoc.asp?DDFDocuments/t/G/TBTN15/EGY99A1.DOCX")</f>
      </c>
      <c r="P1613" s="6">
        <f>HYPERLINK("https://docs.wto.org/imrd/directdoc.asp?DDFDocuments/u/G/TBTN15/EGY99A1.DOCX", "https://docs.wto.org/imrd/directdoc.asp?DDFDocuments/u/G/TBTN15/EGY99A1.DOCX")</f>
      </c>
      <c r="Q1613" s="6">
        <f>HYPERLINK("https://docs.wto.org/imrd/directdoc.asp?DDFDocuments/v/G/TBTN15/EGY99A1.DOCX", "https://docs.wto.org/imrd/directdoc.asp?DDFDocuments/v/G/TBTN15/EGY99A1.DOCX")</f>
      </c>
    </row>
    <row r="1614">
      <c r="A1614" s="6" t="s">
        <v>400</v>
      </c>
      <c r="B1614" s="7">
        <v>45574</v>
      </c>
      <c r="C1614" s="9">
        <f>HYPERLINK("https://eping.wto.org/en/Search?viewData= G/TBT/N/USA/2082/Add.2"," G/TBT/N/USA/2082/Add.2")</f>
      </c>
      <c r="D1614" s="8" t="s">
        <v>5258</v>
      </c>
      <c r="E1614" s="8" t="s">
        <v>5259</v>
      </c>
      <c r="F1614" s="8" t="s">
        <v>1476</v>
      </c>
      <c r="G1614" s="8" t="s">
        <v>22</v>
      </c>
      <c r="H1614" s="8" t="s">
        <v>1477</v>
      </c>
      <c r="I1614" s="8" t="s">
        <v>619</v>
      </c>
      <c r="J1614" s="8" t="s">
        <v>22</v>
      </c>
      <c r="K1614" s="6"/>
      <c r="L1614" s="7" t="s">
        <v>22</v>
      </c>
      <c r="M1614" s="6" t="s">
        <v>40</v>
      </c>
      <c r="N1614" s="8" t="s">
        <v>5260</v>
      </c>
      <c r="O1614" s="6">
        <f>HYPERLINK("https://docs.wto.org/imrd/directdoc.asp?DDFDocuments/t/G/TBTN24/USA2082A2.DOCX", "https://docs.wto.org/imrd/directdoc.asp?DDFDocuments/t/G/TBTN24/USA2082A2.DOCX")</f>
      </c>
      <c r="P1614" s="6">
        <f>HYPERLINK("https://docs.wto.org/imrd/directdoc.asp?DDFDocuments/u/G/TBTN24/USA2082A2.DOCX", "https://docs.wto.org/imrd/directdoc.asp?DDFDocuments/u/G/TBTN24/USA2082A2.DOCX")</f>
      </c>
      <c r="Q1614" s="6">
        <f>HYPERLINK("https://docs.wto.org/imrd/directdoc.asp?DDFDocuments/v/G/TBTN24/USA2082A2.DOCX", "https://docs.wto.org/imrd/directdoc.asp?DDFDocuments/v/G/TBTN24/USA2082A2.DOCX")</f>
      </c>
    </row>
    <row r="1615">
      <c r="A1615" s="6" t="s">
        <v>583</v>
      </c>
      <c r="B1615" s="7">
        <v>45574</v>
      </c>
      <c r="C1615" s="9">
        <f>HYPERLINK("https://eping.wto.org/en/Search?viewData= G/TBT/N/EGY/400/Add.1"," G/TBT/N/EGY/400/Add.1")</f>
      </c>
      <c r="D1615" s="8" t="s">
        <v>5261</v>
      </c>
      <c r="E1615" s="8" t="s">
        <v>5262</v>
      </c>
      <c r="F1615" s="8" t="s">
        <v>5182</v>
      </c>
      <c r="G1615" s="8" t="s">
        <v>22</v>
      </c>
      <c r="H1615" s="8" t="s">
        <v>5183</v>
      </c>
      <c r="I1615" s="8" t="s">
        <v>203</v>
      </c>
      <c r="J1615" s="8" t="s">
        <v>22</v>
      </c>
      <c r="K1615" s="6"/>
      <c r="L1615" s="7" t="s">
        <v>22</v>
      </c>
      <c r="M1615" s="6" t="s">
        <v>40</v>
      </c>
      <c r="N1615" s="6"/>
      <c r="O1615" s="6">
        <f>HYPERLINK("https://docs.wto.org/imrd/directdoc.asp?DDFDocuments/t/G/TBTN24/EGY400A1.DOCX", "https://docs.wto.org/imrd/directdoc.asp?DDFDocuments/t/G/TBTN24/EGY400A1.DOCX")</f>
      </c>
      <c r="P1615" s="6">
        <f>HYPERLINK("https://docs.wto.org/imrd/directdoc.asp?DDFDocuments/u/G/TBTN24/EGY400A1.DOCX", "https://docs.wto.org/imrd/directdoc.asp?DDFDocuments/u/G/TBTN24/EGY400A1.DOCX")</f>
      </c>
      <c r="Q1615" s="6">
        <f>HYPERLINK("https://docs.wto.org/imrd/directdoc.asp?DDFDocuments/v/G/TBTN24/EGY400A1.DOCX", "https://docs.wto.org/imrd/directdoc.asp?DDFDocuments/v/G/TBTN24/EGY400A1.DOCX")</f>
      </c>
    </row>
    <row r="1616">
      <c r="A1616" s="6" t="s">
        <v>583</v>
      </c>
      <c r="B1616" s="7">
        <v>45574</v>
      </c>
      <c r="C1616" s="9">
        <f>HYPERLINK("https://eping.wto.org/en/Search?viewData= G/TBT/N/EGY/212/Add.9"," G/TBT/N/EGY/212/Add.9")</f>
      </c>
      <c r="D1616" s="8" t="s">
        <v>5263</v>
      </c>
      <c r="E1616" s="8" t="s">
        <v>5264</v>
      </c>
      <c r="F1616" s="8" t="s">
        <v>5265</v>
      </c>
      <c r="G1616" s="8" t="s">
        <v>5266</v>
      </c>
      <c r="H1616" s="8" t="s">
        <v>5267</v>
      </c>
      <c r="I1616" s="8" t="s">
        <v>39</v>
      </c>
      <c r="J1616" s="8" t="s">
        <v>81</v>
      </c>
      <c r="K1616" s="6"/>
      <c r="L1616" s="7" t="s">
        <v>22</v>
      </c>
      <c r="M1616" s="6" t="s">
        <v>40</v>
      </c>
      <c r="N1616" s="6"/>
      <c r="O1616" s="6">
        <f>HYPERLINK("https://docs.wto.org/imrd/directdoc.asp?DDFDocuments/t/G/TBTN19/EGY212A9.DOCX", "https://docs.wto.org/imrd/directdoc.asp?DDFDocuments/t/G/TBTN19/EGY212A9.DOCX")</f>
      </c>
      <c r="P1616" s="6">
        <f>HYPERLINK("https://docs.wto.org/imrd/directdoc.asp?DDFDocuments/u/G/TBTN19/EGY212A9.DOCX", "https://docs.wto.org/imrd/directdoc.asp?DDFDocuments/u/G/TBTN19/EGY212A9.DOCX")</f>
      </c>
      <c r="Q1616" s="6">
        <f>HYPERLINK("https://docs.wto.org/imrd/directdoc.asp?DDFDocuments/v/G/TBTN19/EGY212A9.DOCX", "https://docs.wto.org/imrd/directdoc.asp?DDFDocuments/v/G/TBTN19/EGY212A9.DOCX")</f>
      </c>
    </row>
    <row r="1617">
      <c r="A1617" s="6" t="s">
        <v>583</v>
      </c>
      <c r="B1617" s="7">
        <v>45574</v>
      </c>
      <c r="C1617" s="9">
        <f>HYPERLINK("https://eping.wto.org/en/Search?viewData= G/TBT/N/EGY/477/Add.1"," G/TBT/N/EGY/477/Add.1")</f>
      </c>
      <c r="D1617" s="8" t="s">
        <v>5268</v>
      </c>
      <c r="E1617" s="8" t="s">
        <v>5269</v>
      </c>
      <c r="F1617" s="8" t="s">
        <v>5027</v>
      </c>
      <c r="G1617" s="8" t="s">
        <v>22</v>
      </c>
      <c r="H1617" s="8" t="s">
        <v>4509</v>
      </c>
      <c r="I1617" s="8" t="s">
        <v>203</v>
      </c>
      <c r="J1617" s="8" t="s">
        <v>22</v>
      </c>
      <c r="K1617" s="6"/>
      <c r="L1617" s="7" t="s">
        <v>22</v>
      </c>
      <c r="M1617" s="6" t="s">
        <v>40</v>
      </c>
      <c r="N1617" s="6"/>
      <c r="O1617" s="6">
        <f>HYPERLINK("https://docs.wto.org/imrd/directdoc.asp?DDFDocuments/t/G/TBTN24/EGY477A1.DOCX", "https://docs.wto.org/imrd/directdoc.asp?DDFDocuments/t/G/TBTN24/EGY477A1.DOCX")</f>
      </c>
      <c r="P1617" s="6">
        <f>HYPERLINK("https://docs.wto.org/imrd/directdoc.asp?DDFDocuments/u/G/TBTN24/EGY477A1.DOCX", "https://docs.wto.org/imrd/directdoc.asp?DDFDocuments/u/G/TBTN24/EGY477A1.DOCX")</f>
      </c>
      <c r="Q1617" s="6">
        <f>HYPERLINK("https://docs.wto.org/imrd/directdoc.asp?DDFDocuments/v/G/TBTN24/EGY477A1.DOCX", "https://docs.wto.org/imrd/directdoc.asp?DDFDocuments/v/G/TBTN24/EGY477A1.DOCX")</f>
      </c>
    </row>
    <row r="1618">
      <c r="A1618" s="6" t="s">
        <v>583</v>
      </c>
      <c r="B1618" s="7">
        <v>45574</v>
      </c>
      <c r="C1618" s="9">
        <f>HYPERLINK("https://eping.wto.org/en/Search?viewData= G/TBT/N/EGY/402/Add.1"," G/TBT/N/EGY/402/Add.1")</f>
      </c>
      <c r="D1618" s="8" t="s">
        <v>5270</v>
      </c>
      <c r="E1618" s="8" t="s">
        <v>5271</v>
      </c>
      <c r="F1618" s="8" t="s">
        <v>3899</v>
      </c>
      <c r="G1618" s="8" t="s">
        <v>22</v>
      </c>
      <c r="H1618" s="8" t="s">
        <v>5179</v>
      </c>
      <c r="I1618" s="8" t="s">
        <v>1837</v>
      </c>
      <c r="J1618" s="8" t="s">
        <v>22</v>
      </c>
      <c r="K1618" s="6"/>
      <c r="L1618" s="7" t="s">
        <v>22</v>
      </c>
      <c r="M1618" s="6" t="s">
        <v>40</v>
      </c>
      <c r="N1618" s="6"/>
      <c r="O1618" s="6">
        <f>HYPERLINK("https://docs.wto.org/imrd/directdoc.asp?DDFDocuments/t/G/TBTN24/EGY402A1.DOCX", "https://docs.wto.org/imrd/directdoc.asp?DDFDocuments/t/G/TBTN24/EGY402A1.DOCX")</f>
      </c>
      <c r="P1618" s="6">
        <f>HYPERLINK("https://docs.wto.org/imrd/directdoc.asp?DDFDocuments/u/G/TBTN24/EGY402A1.DOCX", "https://docs.wto.org/imrd/directdoc.asp?DDFDocuments/u/G/TBTN24/EGY402A1.DOCX")</f>
      </c>
      <c r="Q1618" s="6">
        <f>HYPERLINK("https://docs.wto.org/imrd/directdoc.asp?DDFDocuments/v/G/TBTN24/EGY402A1.DOCX", "https://docs.wto.org/imrd/directdoc.asp?DDFDocuments/v/G/TBTN24/EGY402A1.DOCX")</f>
      </c>
    </row>
    <row r="1619">
      <c r="A1619" s="6" t="s">
        <v>583</v>
      </c>
      <c r="B1619" s="7">
        <v>45574</v>
      </c>
      <c r="C1619" s="9">
        <f>HYPERLINK("https://eping.wto.org/en/Search?viewData= G/TBT/N/EGY/1/Add.26"," G/TBT/N/EGY/1/Add.26")</f>
      </c>
      <c r="D1619" s="8" t="s">
        <v>5272</v>
      </c>
      <c r="E1619" s="8" t="s">
        <v>5273</v>
      </c>
      <c r="F1619" s="8" t="s">
        <v>119</v>
      </c>
      <c r="G1619" s="8" t="s">
        <v>22</v>
      </c>
      <c r="H1619" s="8" t="s">
        <v>3764</v>
      </c>
      <c r="I1619" s="8" t="s">
        <v>22</v>
      </c>
      <c r="J1619" s="8" t="s">
        <v>81</v>
      </c>
      <c r="K1619" s="6"/>
      <c r="L1619" s="7" t="s">
        <v>22</v>
      </c>
      <c r="M1619" s="6" t="s">
        <v>40</v>
      </c>
      <c r="N1619" s="6"/>
      <c r="O1619" s="6">
        <f>HYPERLINK("https://docs.wto.org/imrd/directdoc.asp?DDFDocuments/t/G/TBTN05/EGY1A26.DOCX", "https://docs.wto.org/imrd/directdoc.asp?DDFDocuments/t/G/TBTN05/EGY1A26.DOCX")</f>
      </c>
      <c r="P1619" s="6">
        <f>HYPERLINK("https://docs.wto.org/imrd/directdoc.asp?DDFDocuments/u/G/TBTN05/EGY1A26.DOCX", "https://docs.wto.org/imrd/directdoc.asp?DDFDocuments/u/G/TBTN05/EGY1A26.DOCX")</f>
      </c>
      <c r="Q1619" s="6">
        <f>HYPERLINK("https://docs.wto.org/imrd/directdoc.asp?DDFDocuments/v/G/TBTN05/EGY1A26.DOCX", "https://docs.wto.org/imrd/directdoc.asp?DDFDocuments/v/G/TBTN05/EGY1A26.DOCX")</f>
      </c>
    </row>
    <row r="1620">
      <c r="A1620" s="6" t="s">
        <v>583</v>
      </c>
      <c r="B1620" s="7">
        <v>45574</v>
      </c>
      <c r="C1620" s="9">
        <f>HYPERLINK("https://eping.wto.org/en/Search?viewData= G/TBT/N/EGY/2/Add.27"," G/TBT/N/EGY/2/Add.27")</f>
      </c>
      <c r="D1620" s="8" t="s">
        <v>5274</v>
      </c>
      <c r="E1620" s="8" t="s">
        <v>5275</v>
      </c>
      <c r="F1620" s="8" t="s">
        <v>119</v>
      </c>
      <c r="G1620" s="8" t="s">
        <v>22</v>
      </c>
      <c r="H1620" s="8" t="s">
        <v>893</v>
      </c>
      <c r="I1620" s="8" t="s">
        <v>22</v>
      </c>
      <c r="J1620" s="8" t="s">
        <v>2449</v>
      </c>
      <c r="K1620" s="6"/>
      <c r="L1620" s="7" t="s">
        <v>22</v>
      </c>
      <c r="M1620" s="6" t="s">
        <v>40</v>
      </c>
      <c r="N1620" s="6"/>
      <c r="O1620" s="6">
        <f>HYPERLINK("https://docs.wto.org/imrd/directdoc.asp?DDFDocuments/t/G/TBTN05/EGY2A27.DOCX", "https://docs.wto.org/imrd/directdoc.asp?DDFDocuments/t/G/TBTN05/EGY2A27.DOCX")</f>
      </c>
      <c r="P1620" s="6">
        <f>HYPERLINK("https://docs.wto.org/imrd/directdoc.asp?DDFDocuments/u/G/TBTN05/EGY2A27.DOCX", "https://docs.wto.org/imrd/directdoc.asp?DDFDocuments/u/G/TBTN05/EGY2A27.DOCX")</f>
      </c>
      <c r="Q1620" s="6">
        <f>HYPERLINK("https://docs.wto.org/imrd/directdoc.asp?DDFDocuments/v/G/TBTN05/EGY2A27.DOCX", "https://docs.wto.org/imrd/directdoc.asp?DDFDocuments/v/G/TBTN05/EGY2A27.DOCX")</f>
      </c>
    </row>
    <row r="1621">
      <c r="A1621" s="6" t="s">
        <v>583</v>
      </c>
      <c r="B1621" s="7">
        <v>45574</v>
      </c>
      <c r="C1621" s="9">
        <f>HYPERLINK("https://eping.wto.org/en/Search?viewData= G/SPS/N/EGY/65/Rev.1/Add.2"," G/SPS/N/EGY/65/Rev.1/Add.2")</f>
      </c>
      <c r="D1621" s="8" t="s">
        <v>5276</v>
      </c>
      <c r="E1621" s="8" t="s">
        <v>5277</v>
      </c>
      <c r="F1621" s="8" t="s">
        <v>5278</v>
      </c>
      <c r="G1621" s="8" t="s">
        <v>5279</v>
      </c>
      <c r="H1621" s="8" t="s">
        <v>22</v>
      </c>
      <c r="I1621" s="8" t="s">
        <v>120</v>
      </c>
      <c r="J1621" s="8" t="s">
        <v>5280</v>
      </c>
      <c r="K1621" s="6"/>
      <c r="L1621" s="7" t="s">
        <v>22</v>
      </c>
      <c r="M1621" s="6" t="s">
        <v>40</v>
      </c>
      <c r="N1621" s="6"/>
      <c r="O1621" s="6">
        <f>HYPERLINK("https://docs.wto.org/imrd/directdoc.asp?DDFDocuments/t/G/SPS/NEGY65R1A2.DOCX", "https://docs.wto.org/imrd/directdoc.asp?DDFDocuments/t/G/SPS/NEGY65R1A2.DOCX")</f>
      </c>
      <c r="P1621" s="6">
        <f>HYPERLINK("https://docs.wto.org/imrd/directdoc.asp?DDFDocuments/u/G/SPS/NEGY65R1A2.DOCX", "https://docs.wto.org/imrd/directdoc.asp?DDFDocuments/u/G/SPS/NEGY65R1A2.DOCX")</f>
      </c>
      <c r="Q1621" s="6">
        <f>HYPERLINK("https://docs.wto.org/imrd/directdoc.asp?DDFDocuments/v/G/SPS/NEGY65R1A2.DOCX", "https://docs.wto.org/imrd/directdoc.asp?DDFDocuments/v/G/SPS/NEGY65R1A2.DOCX")</f>
      </c>
    </row>
    <row r="1622">
      <c r="A1622" s="6" t="s">
        <v>732</v>
      </c>
      <c r="B1622" s="7">
        <v>45574</v>
      </c>
      <c r="C1622" s="9">
        <f>HYPERLINK("https://eping.wto.org/en/Search?viewData= G/TBT/N/MEX/527/Add.2"," G/TBT/N/MEX/527/Add.2")</f>
      </c>
      <c r="D1622" s="8" t="s">
        <v>5281</v>
      </c>
      <c r="E1622" s="8" t="s">
        <v>5282</v>
      </c>
      <c r="F1622" s="8" t="s">
        <v>5283</v>
      </c>
      <c r="G1622" s="8" t="s">
        <v>22</v>
      </c>
      <c r="H1622" s="8" t="s">
        <v>5284</v>
      </c>
      <c r="I1622" s="8" t="s">
        <v>701</v>
      </c>
      <c r="J1622" s="8" t="s">
        <v>761</v>
      </c>
      <c r="K1622" s="6"/>
      <c r="L1622" s="7" t="s">
        <v>22</v>
      </c>
      <c r="M1622" s="6" t="s">
        <v>40</v>
      </c>
      <c r="N1622" s="8" t="s">
        <v>5285</v>
      </c>
      <c r="O1622" s="6">
        <f>HYPERLINK("https://docs.wto.org/imrd/directdoc.asp?DDFDocuments/t/G/TBTN23/MEX527A2.DOCX", "https://docs.wto.org/imrd/directdoc.asp?DDFDocuments/t/G/TBTN23/MEX527A2.DOCX")</f>
      </c>
      <c r="P1622" s="6">
        <f>HYPERLINK("https://docs.wto.org/imrd/directdoc.asp?DDFDocuments/u/G/TBTN23/MEX527A2.DOCX", "https://docs.wto.org/imrd/directdoc.asp?DDFDocuments/u/G/TBTN23/MEX527A2.DOCX")</f>
      </c>
      <c r="Q1622" s="6">
        <f>HYPERLINK("https://docs.wto.org/imrd/directdoc.asp?DDFDocuments/v/G/TBTN23/MEX527A2.DOCX", "https://docs.wto.org/imrd/directdoc.asp?DDFDocuments/v/G/TBTN23/MEX527A2.DOCX")</f>
      </c>
    </row>
    <row r="1623">
      <c r="A1623" s="6" t="s">
        <v>68</v>
      </c>
      <c r="B1623" s="7">
        <v>45574</v>
      </c>
      <c r="C1623" s="9">
        <f>HYPERLINK("https://eping.wto.org/en/Search?viewData= G/SPS/N/UGA/379"," G/SPS/N/UGA/379")</f>
      </c>
      <c r="D1623" s="8" t="s">
        <v>5286</v>
      </c>
      <c r="E1623" s="8" t="s">
        <v>5287</v>
      </c>
      <c r="F1623" s="8" t="s">
        <v>5049</v>
      </c>
      <c r="G1623" s="8" t="s">
        <v>5050</v>
      </c>
      <c r="H1623" s="8" t="s">
        <v>2329</v>
      </c>
      <c r="I1623" s="8" t="s">
        <v>371</v>
      </c>
      <c r="J1623" s="8" t="s">
        <v>3734</v>
      </c>
      <c r="K1623" s="6"/>
      <c r="L1623" s="7">
        <v>45634</v>
      </c>
      <c r="M1623" s="6" t="s">
        <v>32</v>
      </c>
      <c r="N1623" s="8" t="s">
        <v>5288</v>
      </c>
      <c r="O1623" s="6">
        <f>HYPERLINK("https://docs.wto.org/imrd/directdoc.asp?DDFDocuments/t/G/SPS/NUGA379.DOCX", "https://docs.wto.org/imrd/directdoc.asp?DDFDocuments/t/G/SPS/NUGA379.DOCX")</f>
      </c>
      <c r="P1623" s="6">
        <f>HYPERLINK("https://docs.wto.org/imrd/directdoc.asp?DDFDocuments/u/G/SPS/NUGA379.DOCX", "https://docs.wto.org/imrd/directdoc.asp?DDFDocuments/u/G/SPS/NUGA379.DOCX")</f>
      </c>
      <c r="Q1623" s="6">
        <f>HYPERLINK("https://docs.wto.org/imrd/directdoc.asp?DDFDocuments/v/G/SPS/NUGA379.DOCX", "https://docs.wto.org/imrd/directdoc.asp?DDFDocuments/v/G/SPS/NUGA379.DOCX")</f>
      </c>
    </row>
    <row r="1624">
      <c r="A1624" s="6" t="s">
        <v>583</v>
      </c>
      <c r="B1624" s="7">
        <v>45574</v>
      </c>
      <c r="C1624" s="9">
        <f>HYPERLINK("https://eping.wto.org/en/Search?viewData= G/TBT/N/EGY/490"," G/TBT/N/EGY/490")</f>
      </c>
      <c r="D1624" s="8" t="s">
        <v>5289</v>
      </c>
      <c r="E1624" s="8" t="s">
        <v>5290</v>
      </c>
      <c r="F1624" s="8" t="s">
        <v>4031</v>
      </c>
      <c r="G1624" s="8" t="s">
        <v>22</v>
      </c>
      <c r="H1624" s="8" t="s">
        <v>5291</v>
      </c>
      <c r="I1624" s="8" t="s">
        <v>138</v>
      </c>
      <c r="J1624" s="8" t="s">
        <v>22</v>
      </c>
      <c r="K1624" s="6"/>
      <c r="L1624" s="7">
        <v>45634</v>
      </c>
      <c r="M1624" s="6" t="s">
        <v>32</v>
      </c>
      <c r="N1624" s="6"/>
      <c r="O1624" s="6">
        <f>HYPERLINK("https://docs.wto.org/imrd/directdoc.asp?DDFDocuments/t/G/TBTN24/EGY490.DOCX", "https://docs.wto.org/imrd/directdoc.asp?DDFDocuments/t/G/TBTN24/EGY490.DOCX")</f>
      </c>
      <c r="P1624" s="6">
        <f>HYPERLINK("https://docs.wto.org/imrd/directdoc.asp?DDFDocuments/u/G/TBTN24/EGY490.DOCX", "https://docs.wto.org/imrd/directdoc.asp?DDFDocuments/u/G/TBTN24/EGY490.DOCX")</f>
      </c>
      <c r="Q1624" s="6">
        <f>HYPERLINK("https://docs.wto.org/imrd/directdoc.asp?DDFDocuments/v/G/TBTN24/EGY490.DOCX", "https://docs.wto.org/imrd/directdoc.asp?DDFDocuments/v/G/TBTN24/EGY490.DOCX")</f>
      </c>
    </row>
    <row r="1625">
      <c r="A1625" s="6" t="s">
        <v>123</v>
      </c>
      <c r="B1625" s="7">
        <v>45574</v>
      </c>
      <c r="C1625" s="9">
        <f>HYPERLINK("https://eping.wto.org/en/Search?viewData= G/TBT/N/ECU/545/Add.1"," G/TBT/N/ECU/545/Add.1")</f>
      </c>
      <c r="D1625" s="8" t="s">
        <v>5292</v>
      </c>
      <c r="E1625" s="8" t="s">
        <v>5293</v>
      </c>
      <c r="F1625" s="8" t="s">
        <v>5294</v>
      </c>
      <c r="G1625" s="8" t="s">
        <v>5295</v>
      </c>
      <c r="H1625" s="8" t="s">
        <v>5296</v>
      </c>
      <c r="I1625" s="8" t="s">
        <v>265</v>
      </c>
      <c r="J1625" s="8" t="s">
        <v>22</v>
      </c>
      <c r="K1625" s="6"/>
      <c r="L1625" s="7" t="s">
        <v>22</v>
      </c>
      <c r="M1625" s="6" t="s">
        <v>40</v>
      </c>
      <c r="N1625" s="8" t="s">
        <v>5297</v>
      </c>
      <c r="O1625" s="6">
        <f>HYPERLINK("https://docs.wto.org/imrd/directdoc.asp?DDFDocuments/t/G/TBTN24/ECU545A1.DOCX", "https://docs.wto.org/imrd/directdoc.asp?DDFDocuments/t/G/TBTN24/ECU545A1.DOCX")</f>
      </c>
      <c r="P1625" s="6">
        <f>HYPERLINK("https://docs.wto.org/imrd/directdoc.asp?DDFDocuments/u/G/TBTN24/ECU545A1.DOCX", "https://docs.wto.org/imrd/directdoc.asp?DDFDocuments/u/G/TBTN24/ECU545A1.DOCX")</f>
      </c>
      <c r="Q1625" s="6">
        <f>HYPERLINK("https://docs.wto.org/imrd/directdoc.asp?DDFDocuments/v/G/TBTN24/ECU545A1.DOCX", "https://docs.wto.org/imrd/directdoc.asp?DDFDocuments/v/G/TBTN24/ECU545A1.DOCX")</f>
      </c>
    </row>
    <row r="1626">
      <c r="A1626" s="6" t="s">
        <v>68</v>
      </c>
      <c r="B1626" s="7">
        <v>45574</v>
      </c>
      <c r="C1626" s="9">
        <f>HYPERLINK("https://eping.wto.org/en/Search?viewData= G/SPS/N/UGA/378"," G/SPS/N/UGA/378")</f>
      </c>
      <c r="D1626" s="8" t="s">
        <v>5298</v>
      </c>
      <c r="E1626" s="8" t="s">
        <v>5299</v>
      </c>
      <c r="F1626" s="8" t="s">
        <v>5049</v>
      </c>
      <c r="G1626" s="8" t="s">
        <v>5050</v>
      </c>
      <c r="H1626" s="8" t="s">
        <v>2329</v>
      </c>
      <c r="I1626" s="8" t="s">
        <v>371</v>
      </c>
      <c r="J1626" s="8" t="s">
        <v>337</v>
      </c>
      <c r="K1626" s="6"/>
      <c r="L1626" s="7">
        <v>45634</v>
      </c>
      <c r="M1626" s="6" t="s">
        <v>32</v>
      </c>
      <c r="N1626" s="8" t="s">
        <v>5300</v>
      </c>
      <c r="O1626" s="6">
        <f>HYPERLINK("https://docs.wto.org/imrd/directdoc.asp?DDFDocuments/t/G/SPS/NUGA378.DOCX", "https://docs.wto.org/imrd/directdoc.asp?DDFDocuments/t/G/SPS/NUGA378.DOCX")</f>
      </c>
      <c r="P1626" s="6">
        <f>HYPERLINK("https://docs.wto.org/imrd/directdoc.asp?DDFDocuments/u/G/SPS/NUGA378.DOCX", "https://docs.wto.org/imrd/directdoc.asp?DDFDocuments/u/G/SPS/NUGA378.DOCX")</f>
      </c>
      <c r="Q1626" s="6">
        <f>HYPERLINK("https://docs.wto.org/imrd/directdoc.asp?DDFDocuments/v/G/SPS/NUGA378.DOCX", "https://docs.wto.org/imrd/directdoc.asp?DDFDocuments/v/G/SPS/NUGA378.DOCX")</f>
      </c>
    </row>
    <row r="1627">
      <c r="A1627" s="6" t="s">
        <v>68</v>
      </c>
      <c r="B1627" s="7">
        <v>45574</v>
      </c>
      <c r="C1627" s="9">
        <f>HYPERLINK("https://eping.wto.org/en/Search?viewData= G/TBT/N/UGA/2023"," G/TBT/N/UGA/2023")</f>
      </c>
      <c r="D1627" s="8" t="s">
        <v>5301</v>
      </c>
      <c r="E1627" s="8" t="s">
        <v>5302</v>
      </c>
      <c r="F1627" s="8" t="s">
        <v>5049</v>
      </c>
      <c r="G1627" s="8" t="s">
        <v>5050</v>
      </c>
      <c r="H1627" s="8" t="s">
        <v>2329</v>
      </c>
      <c r="I1627" s="8" t="s">
        <v>5303</v>
      </c>
      <c r="J1627" s="8" t="s">
        <v>58</v>
      </c>
      <c r="K1627" s="6"/>
      <c r="L1627" s="7">
        <v>45634</v>
      </c>
      <c r="M1627" s="6" t="s">
        <v>32</v>
      </c>
      <c r="N1627" s="8" t="s">
        <v>5304</v>
      </c>
      <c r="O1627" s="6">
        <f>HYPERLINK("https://docs.wto.org/imrd/directdoc.asp?DDFDocuments/t/G/TBTN24/UGA2023.DOCX", "https://docs.wto.org/imrd/directdoc.asp?DDFDocuments/t/G/TBTN24/UGA2023.DOCX")</f>
      </c>
      <c r="P1627" s="6">
        <f>HYPERLINK("https://docs.wto.org/imrd/directdoc.asp?DDFDocuments/u/G/TBTN24/UGA2023.DOCX", "https://docs.wto.org/imrd/directdoc.asp?DDFDocuments/u/G/TBTN24/UGA2023.DOCX")</f>
      </c>
      <c r="Q1627" s="6">
        <f>HYPERLINK("https://docs.wto.org/imrd/directdoc.asp?DDFDocuments/v/G/TBTN24/UGA2023.DOCX", "https://docs.wto.org/imrd/directdoc.asp?DDFDocuments/v/G/TBTN24/UGA2023.DOCX")</f>
      </c>
    </row>
    <row r="1628">
      <c r="A1628" s="6" t="s">
        <v>418</v>
      </c>
      <c r="B1628" s="7">
        <v>45574</v>
      </c>
      <c r="C1628" s="9">
        <f>HYPERLINK("https://eping.wto.org/en/Search?viewData= G/SPS/N/EU/778/Add.1"," G/SPS/N/EU/778/Add.1")</f>
      </c>
      <c r="D1628" s="8" t="s">
        <v>5305</v>
      </c>
      <c r="E1628" s="8" t="s">
        <v>5306</v>
      </c>
      <c r="F1628" s="8" t="s">
        <v>5307</v>
      </c>
      <c r="G1628" s="8" t="s">
        <v>22</v>
      </c>
      <c r="H1628" s="8" t="s">
        <v>22</v>
      </c>
      <c r="I1628" s="8" t="s">
        <v>5308</v>
      </c>
      <c r="J1628" s="8" t="s">
        <v>5309</v>
      </c>
      <c r="K1628" s="6"/>
      <c r="L1628" s="7" t="s">
        <v>22</v>
      </c>
      <c r="M1628" s="6" t="s">
        <v>40</v>
      </c>
      <c r="N1628" s="8" t="s">
        <v>5310</v>
      </c>
      <c r="O1628" s="6">
        <f>HYPERLINK("https://docs.wto.org/imrd/directdoc.asp?DDFDocuments/t/G/SPS/NEU778A1.DOCX", "https://docs.wto.org/imrd/directdoc.asp?DDFDocuments/t/G/SPS/NEU778A1.DOCX")</f>
      </c>
      <c r="P1628" s="6">
        <f>HYPERLINK("https://docs.wto.org/imrd/directdoc.asp?DDFDocuments/u/G/SPS/NEU778A1.DOCX", "https://docs.wto.org/imrd/directdoc.asp?DDFDocuments/u/G/SPS/NEU778A1.DOCX")</f>
      </c>
      <c r="Q1628" s="6">
        <f>HYPERLINK("https://docs.wto.org/imrd/directdoc.asp?DDFDocuments/v/G/SPS/NEU778A1.DOCX", "https://docs.wto.org/imrd/directdoc.asp?DDFDocuments/v/G/SPS/NEU778A1.DOCX")</f>
      </c>
    </row>
    <row r="1629">
      <c r="A1629" s="6" t="s">
        <v>496</v>
      </c>
      <c r="B1629" s="7">
        <v>45574</v>
      </c>
      <c r="C1629" s="9">
        <f>HYPERLINK("https://eping.wto.org/en/Search?viewData= G/SPS/N/GBR/30/Add.6"," G/SPS/N/GBR/30/Add.6")</f>
      </c>
      <c r="D1629" s="8" t="s">
        <v>5311</v>
      </c>
      <c r="E1629" s="8" t="s">
        <v>5312</v>
      </c>
      <c r="F1629" s="8" t="s">
        <v>5313</v>
      </c>
      <c r="G1629" s="8" t="s">
        <v>22</v>
      </c>
      <c r="H1629" s="8" t="s">
        <v>22</v>
      </c>
      <c r="I1629" s="8" t="s">
        <v>706</v>
      </c>
      <c r="J1629" s="8" t="s">
        <v>5314</v>
      </c>
      <c r="K1629" s="6"/>
      <c r="L1629" s="7" t="s">
        <v>22</v>
      </c>
      <c r="M1629" s="6" t="s">
        <v>40</v>
      </c>
      <c r="N1629" s="6"/>
      <c r="O1629" s="6">
        <f>HYPERLINK("https://docs.wto.org/imrd/directdoc.asp?DDFDocuments/t/G/SPS/NGBR30A6.DOCX", "https://docs.wto.org/imrd/directdoc.asp?DDFDocuments/t/G/SPS/NGBR30A6.DOCX")</f>
      </c>
      <c r="P1629" s="6">
        <f>HYPERLINK("https://docs.wto.org/imrd/directdoc.asp?DDFDocuments/u/G/SPS/NGBR30A6.DOCX", "https://docs.wto.org/imrd/directdoc.asp?DDFDocuments/u/G/SPS/NGBR30A6.DOCX")</f>
      </c>
      <c r="Q1629" s="6">
        <f>HYPERLINK("https://docs.wto.org/imrd/directdoc.asp?DDFDocuments/v/G/SPS/NGBR30A6.DOCX", "https://docs.wto.org/imrd/directdoc.asp?DDFDocuments/v/G/SPS/NGBR30A6.DOCX")</f>
      </c>
    </row>
    <row r="1630">
      <c r="A1630" s="6" t="s">
        <v>583</v>
      </c>
      <c r="B1630" s="7">
        <v>45574</v>
      </c>
      <c r="C1630" s="9">
        <f>HYPERLINK("https://eping.wto.org/en/Search?viewData= G/TBT/N/EGY/485"," G/TBT/N/EGY/485")</f>
      </c>
      <c r="D1630" s="8" t="s">
        <v>5315</v>
      </c>
      <c r="E1630" s="8" t="s">
        <v>5316</v>
      </c>
      <c r="F1630" s="8" t="s">
        <v>5317</v>
      </c>
      <c r="G1630" s="8" t="s">
        <v>22</v>
      </c>
      <c r="H1630" s="8" t="s">
        <v>5318</v>
      </c>
      <c r="I1630" s="8" t="s">
        <v>138</v>
      </c>
      <c r="J1630" s="8" t="s">
        <v>22</v>
      </c>
      <c r="K1630" s="6"/>
      <c r="L1630" s="7">
        <v>45634</v>
      </c>
      <c r="M1630" s="6" t="s">
        <v>32</v>
      </c>
      <c r="N1630" s="6"/>
      <c r="O1630" s="6">
        <f>HYPERLINK("https://docs.wto.org/imrd/directdoc.asp?DDFDocuments/t/G/TBTN24/EGY485.DOCX", "https://docs.wto.org/imrd/directdoc.asp?DDFDocuments/t/G/TBTN24/EGY485.DOCX")</f>
      </c>
      <c r="P1630" s="6">
        <f>HYPERLINK("https://docs.wto.org/imrd/directdoc.asp?DDFDocuments/u/G/TBTN24/EGY485.DOCX", "https://docs.wto.org/imrd/directdoc.asp?DDFDocuments/u/G/TBTN24/EGY485.DOCX")</f>
      </c>
      <c r="Q1630" s="6">
        <f>HYPERLINK("https://docs.wto.org/imrd/directdoc.asp?DDFDocuments/v/G/TBTN24/EGY485.DOCX", "https://docs.wto.org/imrd/directdoc.asp?DDFDocuments/v/G/TBTN24/EGY485.DOCX")</f>
      </c>
    </row>
    <row r="1631">
      <c r="A1631" s="6" t="s">
        <v>418</v>
      </c>
      <c r="B1631" s="7">
        <v>45574</v>
      </c>
      <c r="C1631" s="9">
        <f>HYPERLINK("https://eping.wto.org/en/Search?viewData= G/SPS/N/EU/798"," G/SPS/N/EU/798")</f>
      </c>
      <c r="D1631" s="8" t="s">
        <v>4452</v>
      </c>
      <c r="E1631" s="8" t="s">
        <v>5319</v>
      </c>
      <c r="F1631" s="8" t="s">
        <v>1665</v>
      </c>
      <c r="G1631" s="8" t="s">
        <v>2513</v>
      </c>
      <c r="H1631" s="8" t="s">
        <v>22</v>
      </c>
      <c r="I1631" s="8" t="s">
        <v>128</v>
      </c>
      <c r="J1631" s="8" t="s">
        <v>129</v>
      </c>
      <c r="K1631" s="6"/>
      <c r="L1631" s="7" t="s">
        <v>22</v>
      </c>
      <c r="M1631" s="6" t="s">
        <v>32</v>
      </c>
      <c r="N1631" s="8" t="s">
        <v>5320</v>
      </c>
      <c r="O1631" s="6">
        <f>HYPERLINK("https://docs.wto.org/imrd/directdoc.asp?DDFDocuments/t/G/SPS/NEU798.DOCX", "https://docs.wto.org/imrd/directdoc.asp?DDFDocuments/t/G/SPS/NEU798.DOCX")</f>
      </c>
      <c r="P1631" s="6">
        <f>HYPERLINK("https://docs.wto.org/imrd/directdoc.asp?DDFDocuments/u/G/SPS/NEU798.DOCX", "https://docs.wto.org/imrd/directdoc.asp?DDFDocuments/u/G/SPS/NEU798.DOCX")</f>
      </c>
      <c r="Q1631" s="6">
        <f>HYPERLINK("https://docs.wto.org/imrd/directdoc.asp?DDFDocuments/v/G/SPS/NEU798.DOCX", "https://docs.wto.org/imrd/directdoc.asp?DDFDocuments/v/G/SPS/NEU798.DOCX")</f>
      </c>
    </row>
    <row r="1632">
      <c r="A1632" s="6" t="s">
        <v>583</v>
      </c>
      <c r="B1632" s="7">
        <v>45574</v>
      </c>
      <c r="C1632" s="9">
        <f>HYPERLINK("https://eping.wto.org/en/Search?viewData= G/TBT/N/EGY/483"," G/TBT/N/EGY/483")</f>
      </c>
      <c r="D1632" s="8" t="s">
        <v>5321</v>
      </c>
      <c r="E1632" s="8" t="s">
        <v>5322</v>
      </c>
      <c r="F1632" s="8" t="s">
        <v>5323</v>
      </c>
      <c r="G1632" s="8" t="s">
        <v>5324</v>
      </c>
      <c r="H1632" s="8" t="s">
        <v>3764</v>
      </c>
      <c r="I1632" s="8" t="s">
        <v>138</v>
      </c>
      <c r="J1632" s="8" t="s">
        <v>58</v>
      </c>
      <c r="K1632" s="6"/>
      <c r="L1632" s="7">
        <v>45634</v>
      </c>
      <c r="M1632" s="6" t="s">
        <v>32</v>
      </c>
      <c r="N1632" s="6"/>
      <c r="O1632" s="6">
        <f>HYPERLINK("https://docs.wto.org/imrd/directdoc.asp?DDFDocuments/t/G/TBTN24/EGY483.DOCX", "https://docs.wto.org/imrd/directdoc.asp?DDFDocuments/t/G/TBTN24/EGY483.DOCX")</f>
      </c>
      <c r="P1632" s="6">
        <f>HYPERLINK("https://docs.wto.org/imrd/directdoc.asp?DDFDocuments/u/G/TBTN24/EGY483.DOCX", "https://docs.wto.org/imrd/directdoc.asp?DDFDocuments/u/G/TBTN24/EGY483.DOCX")</f>
      </c>
      <c r="Q1632" s="6">
        <f>HYPERLINK("https://docs.wto.org/imrd/directdoc.asp?DDFDocuments/v/G/TBTN24/EGY483.DOCX", "https://docs.wto.org/imrd/directdoc.asp?DDFDocuments/v/G/TBTN24/EGY483.DOCX")</f>
      </c>
    </row>
    <row r="1633">
      <c r="A1633" s="6" t="s">
        <v>583</v>
      </c>
      <c r="B1633" s="7">
        <v>45574</v>
      </c>
      <c r="C1633" s="9">
        <f>HYPERLINK("https://eping.wto.org/en/Search?viewData= G/TBT/N/EGY/484"," G/TBT/N/EGY/484")</f>
      </c>
      <c r="D1633" s="8" t="s">
        <v>5325</v>
      </c>
      <c r="E1633" s="8" t="s">
        <v>5326</v>
      </c>
      <c r="F1633" s="8" t="s">
        <v>5323</v>
      </c>
      <c r="G1633" s="8" t="s">
        <v>5327</v>
      </c>
      <c r="H1633" s="8" t="s">
        <v>3764</v>
      </c>
      <c r="I1633" s="8" t="s">
        <v>823</v>
      </c>
      <c r="J1633" s="8" t="s">
        <v>58</v>
      </c>
      <c r="K1633" s="6"/>
      <c r="L1633" s="7">
        <v>45634</v>
      </c>
      <c r="M1633" s="6" t="s">
        <v>32</v>
      </c>
      <c r="N1633" s="6"/>
      <c r="O1633" s="6">
        <f>HYPERLINK("https://docs.wto.org/imrd/directdoc.asp?DDFDocuments/t/G/TBTN24/EGY484.DOCX", "https://docs.wto.org/imrd/directdoc.asp?DDFDocuments/t/G/TBTN24/EGY484.DOCX")</f>
      </c>
      <c r="P1633" s="6">
        <f>HYPERLINK("https://docs.wto.org/imrd/directdoc.asp?DDFDocuments/u/G/TBTN24/EGY484.DOCX", "https://docs.wto.org/imrd/directdoc.asp?DDFDocuments/u/G/TBTN24/EGY484.DOCX")</f>
      </c>
      <c r="Q1633" s="6">
        <f>HYPERLINK("https://docs.wto.org/imrd/directdoc.asp?DDFDocuments/v/G/TBTN24/EGY484.DOCX", "https://docs.wto.org/imrd/directdoc.asp?DDFDocuments/v/G/TBTN24/EGY484.DOCX")</f>
      </c>
    </row>
    <row r="1634">
      <c r="A1634" s="6" t="s">
        <v>583</v>
      </c>
      <c r="B1634" s="7">
        <v>45574</v>
      </c>
      <c r="C1634" s="9">
        <f>HYPERLINK("https://eping.wto.org/en/Search?viewData= G/SPS/N/EGY/147"," G/SPS/N/EGY/147")</f>
      </c>
      <c r="D1634" s="8" t="s">
        <v>584</v>
      </c>
      <c r="E1634" s="8" t="s">
        <v>5328</v>
      </c>
      <c r="F1634" s="8" t="s">
        <v>4025</v>
      </c>
      <c r="G1634" s="8" t="s">
        <v>5329</v>
      </c>
      <c r="H1634" s="8" t="s">
        <v>893</v>
      </c>
      <c r="I1634" s="8" t="s">
        <v>120</v>
      </c>
      <c r="J1634" s="8" t="s">
        <v>255</v>
      </c>
      <c r="K1634" s="6" t="s">
        <v>22</v>
      </c>
      <c r="L1634" s="7">
        <v>45634</v>
      </c>
      <c r="M1634" s="6" t="s">
        <v>32</v>
      </c>
      <c r="N1634" s="6"/>
      <c r="O1634" s="6">
        <f>HYPERLINK("https://docs.wto.org/imrd/directdoc.asp?DDFDocuments/t/G/SPS/NEGY147.DOCX", "https://docs.wto.org/imrd/directdoc.asp?DDFDocuments/t/G/SPS/NEGY147.DOCX")</f>
      </c>
      <c r="P1634" s="6">
        <f>HYPERLINK("https://docs.wto.org/imrd/directdoc.asp?DDFDocuments/u/G/SPS/NEGY147.DOCX", "https://docs.wto.org/imrd/directdoc.asp?DDFDocuments/u/G/SPS/NEGY147.DOCX")</f>
      </c>
      <c r="Q1634" s="6">
        <f>HYPERLINK("https://docs.wto.org/imrd/directdoc.asp?DDFDocuments/v/G/SPS/NEGY147.DOCX", "https://docs.wto.org/imrd/directdoc.asp?DDFDocuments/v/G/SPS/NEGY147.DOCX")</f>
      </c>
    </row>
    <row r="1635">
      <c r="A1635" s="6" t="s">
        <v>68</v>
      </c>
      <c r="B1635" s="7">
        <v>45574</v>
      </c>
      <c r="C1635" s="9">
        <f>HYPERLINK("https://eping.wto.org/en/Search?viewData= G/SPS/N/UGA/382"," G/SPS/N/UGA/382")</f>
      </c>
      <c r="D1635" s="8" t="s">
        <v>5330</v>
      </c>
      <c r="E1635" s="8" t="s">
        <v>5331</v>
      </c>
      <c r="F1635" s="8" t="s">
        <v>5049</v>
      </c>
      <c r="G1635" s="8" t="s">
        <v>5050</v>
      </c>
      <c r="H1635" s="8" t="s">
        <v>2329</v>
      </c>
      <c r="I1635" s="8" t="s">
        <v>371</v>
      </c>
      <c r="J1635" s="8" t="s">
        <v>337</v>
      </c>
      <c r="K1635" s="6"/>
      <c r="L1635" s="7">
        <v>45634</v>
      </c>
      <c r="M1635" s="6" t="s">
        <v>32</v>
      </c>
      <c r="N1635" s="8" t="s">
        <v>5332</v>
      </c>
      <c r="O1635" s="6">
        <f>HYPERLINK("https://docs.wto.org/imrd/directdoc.asp?DDFDocuments/t/G/SPS/NUGA382.DOCX", "https://docs.wto.org/imrd/directdoc.asp?DDFDocuments/t/G/SPS/NUGA382.DOCX")</f>
      </c>
      <c r="P1635" s="6">
        <f>HYPERLINK("https://docs.wto.org/imrd/directdoc.asp?DDFDocuments/u/G/SPS/NUGA382.DOCX", "https://docs.wto.org/imrd/directdoc.asp?DDFDocuments/u/G/SPS/NUGA382.DOCX")</f>
      </c>
      <c r="Q1635" s="6">
        <f>HYPERLINK("https://docs.wto.org/imrd/directdoc.asp?DDFDocuments/v/G/SPS/NUGA382.DOCX", "https://docs.wto.org/imrd/directdoc.asp?DDFDocuments/v/G/SPS/NUGA382.DOCX")</f>
      </c>
    </row>
    <row r="1636">
      <c r="A1636" s="6" t="s">
        <v>583</v>
      </c>
      <c r="B1636" s="7">
        <v>45574</v>
      </c>
      <c r="C1636" s="9">
        <f>HYPERLINK("https://eping.wto.org/en/Search?viewData= G/TBT/N/EGY/406/Add.1"," G/TBT/N/EGY/406/Add.1")</f>
      </c>
      <c r="D1636" s="8" t="s">
        <v>5333</v>
      </c>
      <c r="E1636" s="8" t="s">
        <v>5334</v>
      </c>
      <c r="F1636" s="8" t="s">
        <v>5207</v>
      </c>
      <c r="G1636" s="8" t="s">
        <v>378</v>
      </c>
      <c r="H1636" s="8" t="s">
        <v>5208</v>
      </c>
      <c r="I1636" s="8" t="s">
        <v>203</v>
      </c>
      <c r="J1636" s="8" t="s">
        <v>22</v>
      </c>
      <c r="K1636" s="6"/>
      <c r="L1636" s="7" t="s">
        <v>22</v>
      </c>
      <c r="M1636" s="6" t="s">
        <v>40</v>
      </c>
      <c r="N1636" s="6"/>
      <c r="O1636" s="6">
        <f>HYPERLINK("https://docs.wto.org/imrd/directdoc.asp?DDFDocuments/t/G/TBTN24/EGY406A1.DOCX", "https://docs.wto.org/imrd/directdoc.asp?DDFDocuments/t/G/TBTN24/EGY406A1.DOCX")</f>
      </c>
      <c r="P1636" s="6">
        <f>HYPERLINK("https://docs.wto.org/imrd/directdoc.asp?DDFDocuments/u/G/TBTN24/EGY406A1.DOCX", "https://docs.wto.org/imrd/directdoc.asp?DDFDocuments/u/G/TBTN24/EGY406A1.DOCX")</f>
      </c>
      <c r="Q1636" s="6">
        <f>HYPERLINK("https://docs.wto.org/imrd/directdoc.asp?DDFDocuments/v/G/TBTN24/EGY406A1.DOCX", "https://docs.wto.org/imrd/directdoc.asp?DDFDocuments/v/G/TBTN24/EGY406A1.DOCX")</f>
      </c>
    </row>
    <row r="1637">
      <c r="A1637" s="6" t="s">
        <v>583</v>
      </c>
      <c r="B1637" s="7">
        <v>45574</v>
      </c>
      <c r="C1637" s="9">
        <f>HYPERLINK("https://eping.wto.org/en/Search?viewData= G/TBT/N/EGY/404/Add.1"," G/TBT/N/EGY/404/Add.1")</f>
      </c>
      <c r="D1637" s="8" t="s">
        <v>5335</v>
      </c>
      <c r="E1637" s="8" t="s">
        <v>5336</v>
      </c>
      <c r="F1637" s="8" t="s">
        <v>5222</v>
      </c>
      <c r="G1637" s="8" t="s">
        <v>22</v>
      </c>
      <c r="H1637" s="8" t="s">
        <v>5223</v>
      </c>
      <c r="I1637" s="8" t="s">
        <v>203</v>
      </c>
      <c r="J1637" s="8" t="s">
        <v>22</v>
      </c>
      <c r="K1637" s="6"/>
      <c r="L1637" s="7" t="s">
        <v>22</v>
      </c>
      <c r="M1637" s="6" t="s">
        <v>40</v>
      </c>
      <c r="N1637" s="6"/>
      <c r="O1637" s="6">
        <f>HYPERLINK("https://docs.wto.org/imrd/directdoc.asp?DDFDocuments/t/G/TBTN24/EGY404A1.DOCX", "https://docs.wto.org/imrd/directdoc.asp?DDFDocuments/t/G/TBTN24/EGY404A1.DOCX")</f>
      </c>
      <c r="P1637" s="6">
        <f>HYPERLINK("https://docs.wto.org/imrd/directdoc.asp?DDFDocuments/u/G/TBTN24/EGY404A1.DOCX", "https://docs.wto.org/imrd/directdoc.asp?DDFDocuments/u/G/TBTN24/EGY404A1.DOCX")</f>
      </c>
      <c r="Q1637" s="6">
        <f>HYPERLINK("https://docs.wto.org/imrd/directdoc.asp?DDFDocuments/v/G/TBTN24/EGY404A1.DOCX", "https://docs.wto.org/imrd/directdoc.asp?DDFDocuments/v/G/TBTN24/EGY404A1.DOCX")</f>
      </c>
    </row>
    <row r="1638">
      <c r="A1638" s="6" t="s">
        <v>583</v>
      </c>
      <c r="B1638" s="7">
        <v>45574</v>
      </c>
      <c r="C1638" s="9">
        <f>HYPERLINK("https://eping.wto.org/en/Search?viewData= G/TBT/N/EGY/488"," G/TBT/N/EGY/488")</f>
      </c>
      <c r="D1638" s="8" t="s">
        <v>5337</v>
      </c>
      <c r="E1638" s="8" t="s">
        <v>5338</v>
      </c>
      <c r="F1638" s="8" t="s">
        <v>5317</v>
      </c>
      <c r="G1638" s="8" t="s">
        <v>22</v>
      </c>
      <c r="H1638" s="8" t="s">
        <v>5318</v>
      </c>
      <c r="I1638" s="8" t="s">
        <v>138</v>
      </c>
      <c r="J1638" s="8" t="s">
        <v>22</v>
      </c>
      <c r="K1638" s="6"/>
      <c r="L1638" s="7">
        <v>45634</v>
      </c>
      <c r="M1638" s="6" t="s">
        <v>32</v>
      </c>
      <c r="N1638" s="6"/>
      <c r="O1638" s="6">
        <f>HYPERLINK("https://docs.wto.org/imrd/directdoc.asp?DDFDocuments/t/G/TBTN24/EGY488.DOCX", "https://docs.wto.org/imrd/directdoc.asp?DDFDocuments/t/G/TBTN24/EGY488.DOCX")</f>
      </c>
      <c r="P1638" s="6">
        <f>HYPERLINK("https://docs.wto.org/imrd/directdoc.asp?DDFDocuments/u/G/TBTN24/EGY488.DOCX", "https://docs.wto.org/imrd/directdoc.asp?DDFDocuments/u/G/TBTN24/EGY488.DOCX")</f>
      </c>
      <c r="Q1638" s="6">
        <f>HYPERLINK("https://docs.wto.org/imrd/directdoc.asp?DDFDocuments/v/G/TBTN24/EGY488.DOCX", "https://docs.wto.org/imrd/directdoc.asp?DDFDocuments/v/G/TBTN24/EGY488.DOCX")</f>
      </c>
    </row>
    <row r="1639">
      <c r="A1639" s="6" t="s">
        <v>583</v>
      </c>
      <c r="B1639" s="7">
        <v>45574</v>
      </c>
      <c r="C1639" s="9">
        <f>HYPERLINK("https://eping.wto.org/en/Search?viewData= G/TBT/N/EGY/88/Rev.1/Add.3"," G/TBT/N/EGY/88/Rev.1/Add.3")</f>
      </c>
      <c r="D1639" s="8" t="s">
        <v>5339</v>
      </c>
      <c r="E1639" s="8" t="s">
        <v>5340</v>
      </c>
      <c r="F1639" s="8" t="s">
        <v>5278</v>
      </c>
      <c r="G1639" s="8" t="s">
        <v>22</v>
      </c>
      <c r="H1639" s="8" t="s">
        <v>4164</v>
      </c>
      <c r="I1639" s="8" t="s">
        <v>39</v>
      </c>
      <c r="J1639" s="8" t="s">
        <v>81</v>
      </c>
      <c r="K1639" s="6"/>
      <c r="L1639" s="7" t="s">
        <v>22</v>
      </c>
      <c r="M1639" s="6" t="s">
        <v>40</v>
      </c>
      <c r="N1639" s="6"/>
      <c r="O1639" s="6">
        <f>HYPERLINK("https://docs.wto.org/imrd/directdoc.asp?DDFDocuments/t/G/TBTN15/EGY88R1A3.DOCX", "https://docs.wto.org/imrd/directdoc.asp?DDFDocuments/t/G/TBTN15/EGY88R1A3.DOCX")</f>
      </c>
      <c r="P1639" s="6">
        <f>HYPERLINK("https://docs.wto.org/imrd/directdoc.asp?DDFDocuments/u/G/TBTN15/EGY88R1A3.DOCX", "https://docs.wto.org/imrd/directdoc.asp?DDFDocuments/u/G/TBTN15/EGY88R1A3.DOCX")</f>
      </c>
      <c r="Q1639" s="6">
        <f>HYPERLINK("https://docs.wto.org/imrd/directdoc.asp?DDFDocuments/v/G/TBTN15/EGY88R1A3.DOCX", "https://docs.wto.org/imrd/directdoc.asp?DDFDocuments/v/G/TBTN15/EGY88R1A3.DOCX")</f>
      </c>
    </row>
    <row r="1640">
      <c r="A1640" s="6" t="s">
        <v>583</v>
      </c>
      <c r="B1640" s="7">
        <v>45574</v>
      </c>
      <c r="C1640" s="9">
        <f>HYPERLINK("https://eping.wto.org/en/Search?viewData= G/TBT/N/EGY/464/Add.1"," G/TBT/N/EGY/464/Add.1")</f>
      </c>
      <c r="D1640" s="8" t="s">
        <v>5341</v>
      </c>
      <c r="E1640" s="8" t="s">
        <v>5342</v>
      </c>
      <c r="F1640" s="8" t="s">
        <v>3899</v>
      </c>
      <c r="G1640" s="8" t="s">
        <v>22</v>
      </c>
      <c r="H1640" s="8" t="s">
        <v>5179</v>
      </c>
      <c r="I1640" s="8" t="s">
        <v>1837</v>
      </c>
      <c r="J1640" s="8" t="s">
        <v>22</v>
      </c>
      <c r="K1640" s="6"/>
      <c r="L1640" s="7" t="s">
        <v>22</v>
      </c>
      <c r="M1640" s="6" t="s">
        <v>40</v>
      </c>
      <c r="N1640" s="6"/>
      <c r="O1640" s="6">
        <f>HYPERLINK("https://docs.wto.org/imrd/directdoc.asp?DDFDocuments/t/G/TBTN24/EGY464A1.DOCX", "https://docs.wto.org/imrd/directdoc.asp?DDFDocuments/t/G/TBTN24/EGY464A1.DOCX")</f>
      </c>
      <c r="P1640" s="6">
        <f>HYPERLINK("https://docs.wto.org/imrd/directdoc.asp?DDFDocuments/u/G/TBTN24/EGY464A1.DOCX", "https://docs.wto.org/imrd/directdoc.asp?DDFDocuments/u/G/TBTN24/EGY464A1.DOCX")</f>
      </c>
      <c r="Q1640" s="6">
        <f>HYPERLINK("https://docs.wto.org/imrd/directdoc.asp?DDFDocuments/v/G/TBTN24/EGY464A1.DOCX", "https://docs.wto.org/imrd/directdoc.asp?DDFDocuments/v/G/TBTN24/EGY464A1.DOCX")</f>
      </c>
    </row>
    <row r="1641">
      <c r="A1641" s="6" t="s">
        <v>400</v>
      </c>
      <c r="B1641" s="7">
        <v>45574</v>
      </c>
      <c r="C1641" s="9">
        <f>HYPERLINK("https://eping.wto.org/en/Search?viewData= G/TBT/N/USA/1911/Rev.1/Add.1"," G/TBT/N/USA/1911/Rev.1/Add.1")</f>
      </c>
      <c r="D1641" s="8" t="s">
        <v>5343</v>
      </c>
      <c r="E1641" s="8" t="s">
        <v>5344</v>
      </c>
      <c r="F1641" s="8" t="s">
        <v>5345</v>
      </c>
      <c r="G1641" s="8" t="s">
        <v>5346</v>
      </c>
      <c r="H1641" s="8" t="s">
        <v>5347</v>
      </c>
      <c r="I1641" s="8" t="s">
        <v>1461</v>
      </c>
      <c r="J1641" s="8" t="s">
        <v>22</v>
      </c>
      <c r="K1641" s="6"/>
      <c r="L1641" s="7" t="s">
        <v>22</v>
      </c>
      <c r="M1641" s="6" t="s">
        <v>40</v>
      </c>
      <c r="N1641" s="8" t="s">
        <v>5348</v>
      </c>
      <c r="O1641" s="6">
        <f>HYPERLINK("https://docs.wto.org/imrd/directdoc.asp?DDFDocuments/t/G/TBTN22/USA1911R1A1.DOCX", "https://docs.wto.org/imrd/directdoc.asp?DDFDocuments/t/G/TBTN22/USA1911R1A1.DOCX")</f>
      </c>
      <c r="P1641" s="6">
        <f>HYPERLINK("https://docs.wto.org/imrd/directdoc.asp?DDFDocuments/u/G/TBTN22/USA1911R1A1.DOCX", "https://docs.wto.org/imrd/directdoc.asp?DDFDocuments/u/G/TBTN22/USA1911R1A1.DOCX")</f>
      </c>
      <c r="Q1641" s="6">
        <f>HYPERLINK("https://docs.wto.org/imrd/directdoc.asp?DDFDocuments/v/G/TBTN22/USA1911R1A1.DOCX", "https://docs.wto.org/imrd/directdoc.asp?DDFDocuments/v/G/TBTN22/USA1911R1A1.DOCX")</f>
      </c>
    </row>
    <row r="1642">
      <c r="A1642" s="6" t="s">
        <v>583</v>
      </c>
      <c r="B1642" s="7">
        <v>45574</v>
      </c>
      <c r="C1642" s="9">
        <f>HYPERLINK("https://eping.wto.org/en/Search?viewData= G/TBT/N/EGY/312/Add.1"," G/TBT/N/EGY/312/Add.1")</f>
      </c>
      <c r="D1642" s="8" t="s">
        <v>5349</v>
      </c>
      <c r="E1642" s="8" t="s">
        <v>5350</v>
      </c>
      <c r="F1642" s="8" t="s">
        <v>5317</v>
      </c>
      <c r="G1642" s="8" t="s">
        <v>22</v>
      </c>
      <c r="H1642" s="8" t="s">
        <v>5351</v>
      </c>
      <c r="I1642" s="8" t="s">
        <v>839</v>
      </c>
      <c r="J1642" s="8" t="s">
        <v>22</v>
      </c>
      <c r="K1642" s="6"/>
      <c r="L1642" s="7" t="s">
        <v>22</v>
      </c>
      <c r="M1642" s="6" t="s">
        <v>40</v>
      </c>
      <c r="N1642" s="6"/>
      <c r="O1642" s="6">
        <f>HYPERLINK("https://docs.wto.org/imrd/directdoc.asp?DDFDocuments/t/G/TBTN21/EGY312A1.DOCX", "https://docs.wto.org/imrd/directdoc.asp?DDFDocuments/t/G/TBTN21/EGY312A1.DOCX")</f>
      </c>
      <c r="P1642" s="6">
        <f>HYPERLINK("https://docs.wto.org/imrd/directdoc.asp?DDFDocuments/u/G/TBTN21/EGY312A1.DOCX", "https://docs.wto.org/imrd/directdoc.asp?DDFDocuments/u/G/TBTN21/EGY312A1.DOCX")</f>
      </c>
      <c r="Q1642" s="6">
        <f>HYPERLINK("https://docs.wto.org/imrd/directdoc.asp?DDFDocuments/v/G/TBTN21/EGY312A1.DOCX", "https://docs.wto.org/imrd/directdoc.asp?DDFDocuments/v/G/TBTN21/EGY312A1.DOCX")</f>
      </c>
    </row>
    <row r="1643">
      <c r="A1643" s="6" t="s">
        <v>583</v>
      </c>
      <c r="B1643" s="7">
        <v>45574</v>
      </c>
      <c r="C1643" s="9">
        <f>HYPERLINK("https://eping.wto.org/en/Search?viewData= G/SPS/N/EGY/149"," G/SPS/N/EGY/149")</f>
      </c>
      <c r="D1643" s="8" t="s">
        <v>5352</v>
      </c>
      <c r="E1643" s="8" t="s">
        <v>5353</v>
      </c>
      <c r="F1643" s="8" t="s">
        <v>4027</v>
      </c>
      <c r="G1643" s="8" t="s">
        <v>5327</v>
      </c>
      <c r="H1643" s="8" t="s">
        <v>3764</v>
      </c>
      <c r="I1643" s="8" t="s">
        <v>120</v>
      </c>
      <c r="J1643" s="8" t="s">
        <v>255</v>
      </c>
      <c r="K1643" s="6" t="s">
        <v>22</v>
      </c>
      <c r="L1643" s="7">
        <v>45634</v>
      </c>
      <c r="M1643" s="6" t="s">
        <v>32</v>
      </c>
      <c r="N1643" s="6"/>
      <c r="O1643" s="6">
        <f>HYPERLINK("https://docs.wto.org/imrd/directdoc.asp?DDFDocuments/t/G/SPS/NEGY149.DOCX", "https://docs.wto.org/imrd/directdoc.asp?DDFDocuments/t/G/SPS/NEGY149.DOCX")</f>
      </c>
      <c r="P1643" s="6">
        <f>HYPERLINK("https://docs.wto.org/imrd/directdoc.asp?DDFDocuments/u/G/SPS/NEGY149.DOCX", "https://docs.wto.org/imrd/directdoc.asp?DDFDocuments/u/G/SPS/NEGY149.DOCX")</f>
      </c>
      <c r="Q1643" s="6">
        <f>HYPERLINK("https://docs.wto.org/imrd/directdoc.asp?DDFDocuments/v/G/SPS/NEGY149.DOCX", "https://docs.wto.org/imrd/directdoc.asp?DDFDocuments/v/G/SPS/NEGY149.DOCX")</f>
      </c>
    </row>
    <row r="1644">
      <c r="A1644" s="6" t="s">
        <v>583</v>
      </c>
      <c r="B1644" s="7">
        <v>45574</v>
      </c>
      <c r="C1644" s="9">
        <f>HYPERLINK("https://eping.wto.org/en/Search?viewData= G/SPS/N/EGY/148"," G/SPS/N/EGY/148")</f>
      </c>
      <c r="D1644" s="8" t="s">
        <v>5354</v>
      </c>
      <c r="E1644" s="8" t="s">
        <v>5355</v>
      </c>
      <c r="F1644" s="8" t="s">
        <v>4027</v>
      </c>
      <c r="G1644" s="8" t="s">
        <v>5324</v>
      </c>
      <c r="H1644" s="8" t="s">
        <v>3764</v>
      </c>
      <c r="I1644" s="8" t="s">
        <v>120</v>
      </c>
      <c r="J1644" s="8" t="s">
        <v>255</v>
      </c>
      <c r="K1644" s="6" t="s">
        <v>22</v>
      </c>
      <c r="L1644" s="7">
        <v>45634</v>
      </c>
      <c r="M1644" s="6" t="s">
        <v>32</v>
      </c>
      <c r="N1644" s="6"/>
      <c r="O1644" s="6">
        <f>HYPERLINK("https://docs.wto.org/imrd/directdoc.asp?DDFDocuments/t/G/SPS/NEGY148.DOCX", "https://docs.wto.org/imrd/directdoc.asp?DDFDocuments/t/G/SPS/NEGY148.DOCX")</f>
      </c>
      <c r="P1644" s="6">
        <f>HYPERLINK("https://docs.wto.org/imrd/directdoc.asp?DDFDocuments/u/G/SPS/NEGY148.DOCX", "https://docs.wto.org/imrd/directdoc.asp?DDFDocuments/u/G/SPS/NEGY148.DOCX")</f>
      </c>
      <c r="Q1644" s="6">
        <f>HYPERLINK("https://docs.wto.org/imrd/directdoc.asp?DDFDocuments/v/G/SPS/NEGY148.DOCX", "https://docs.wto.org/imrd/directdoc.asp?DDFDocuments/v/G/SPS/NEGY148.DOCX")</f>
      </c>
    </row>
    <row r="1645">
      <c r="A1645" s="6" t="s">
        <v>374</v>
      </c>
      <c r="B1645" s="7">
        <v>45574</v>
      </c>
      <c r="C1645" s="9">
        <f>HYPERLINK("https://eping.wto.org/en/Search?viewData= G/SPS/N/CRI/279/Add.1"," G/SPS/N/CRI/279/Add.1")</f>
      </c>
      <c r="D1645" s="8" t="s">
        <v>5356</v>
      </c>
      <c r="E1645" s="8" t="s">
        <v>5356</v>
      </c>
      <c r="F1645" s="8" t="s">
        <v>5357</v>
      </c>
      <c r="G1645" s="8" t="s">
        <v>5358</v>
      </c>
      <c r="H1645" s="8" t="s">
        <v>22</v>
      </c>
      <c r="I1645" s="8" t="s">
        <v>390</v>
      </c>
      <c r="J1645" s="8" t="s">
        <v>726</v>
      </c>
      <c r="K1645" s="6"/>
      <c r="L1645" s="7" t="s">
        <v>22</v>
      </c>
      <c r="M1645" s="6" t="s">
        <v>40</v>
      </c>
      <c r="N1645" s="8" t="s">
        <v>5359</v>
      </c>
      <c r="O1645" s="6">
        <f>HYPERLINK("https://docs.wto.org/imrd/directdoc.asp?DDFDocuments/t/G/SPS/NCRI279A1.DOCX", "https://docs.wto.org/imrd/directdoc.asp?DDFDocuments/t/G/SPS/NCRI279A1.DOCX")</f>
      </c>
      <c r="P1645" s="6">
        <f>HYPERLINK("https://docs.wto.org/imrd/directdoc.asp?DDFDocuments/u/G/SPS/NCRI279A1.DOCX", "https://docs.wto.org/imrd/directdoc.asp?DDFDocuments/u/G/SPS/NCRI279A1.DOCX")</f>
      </c>
      <c r="Q1645" s="6">
        <f>HYPERLINK("https://docs.wto.org/imrd/directdoc.asp?DDFDocuments/v/G/SPS/NCRI279A1.DOCX", "https://docs.wto.org/imrd/directdoc.asp?DDFDocuments/v/G/SPS/NCRI279A1.DOCX")</f>
      </c>
    </row>
    <row r="1646">
      <c r="A1646" s="6" t="s">
        <v>68</v>
      </c>
      <c r="B1646" s="7">
        <v>45574</v>
      </c>
      <c r="C1646" s="9">
        <f>HYPERLINK("https://eping.wto.org/en/Search?viewData= G/SPS/N/UGA/380"," G/SPS/N/UGA/380")</f>
      </c>
      <c r="D1646" s="8" t="s">
        <v>5360</v>
      </c>
      <c r="E1646" s="8" t="s">
        <v>5361</v>
      </c>
      <c r="F1646" s="8" t="s">
        <v>5049</v>
      </c>
      <c r="G1646" s="8" t="s">
        <v>5050</v>
      </c>
      <c r="H1646" s="8" t="s">
        <v>2329</v>
      </c>
      <c r="I1646" s="8" t="s">
        <v>371</v>
      </c>
      <c r="J1646" s="8" t="s">
        <v>337</v>
      </c>
      <c r="K1646" s="6"/>
      <c r="L1646" s="7">
        <v>45634</v>
      </c>
      <c r="M1646" s="6" t="s">
        <v>32</v>
      </c>
      <c r="N1646" s="8" t="s">
        <v>5362</v>
      </c>
      <c r="O1646" s="6">
        <f>HYPERLINK("https://docs.wto.org/imrd/directdoc.asp?DDFDocuments/t/G/SPS/NUGA380.DOCX", "https://docs.wto.org/imrd/directdoc.asp?DDFDocuments/t/G/SPS/NUGA380.DOCX")</f>
      </c>
      <c r="P1646" s="6">
        <f>HYPERLINK("https://docs.wto.org/imrd/directdoc.asp?DDFDocuments/u/G/SPS/NUGA380.DOCX", "https://docs.wto.org/imrd/directdoc.asp?DDFDocuments/u/G/SPS/NUGA380.DOCX")</f>
      </c>
      <c r="Q1646" s="6">
        <f>HYPERLINK("https://docs.wto.org/imrd/directdoc.asp?DDFDocuments/v/G/SPS/NUGA380.DOCX", "https://docs.wto.org/imrd/directdoc.asp?DDFDocuments/v/G/SPS/NUGA380.DOCX")</f>
      </c>
    </row>
    <row r="1647">
      <c r="A1647" s="6" t="s">
        <v>583</v>
      </c>
      <c r="B1647" s="7">
        <v>45574</v>
      </c>
      <c r="C1647" s="9">
        <f>HYPERLINK("https://eping.wto.org/en/Search?viewData= G/TBT/N/EGY/60/Add.2"," G/TBT/N/EGY/60/Add.2")</f>
      </c>
      <c r="D1647" s="8" t="s">
        <v>5363</v>
      </c>
      <c r="E1647" s="8" t="s">
        <v>5364</v>
      </c>
      <c r="F1647" s="8" t="s">
        <v>5365</v>
      </c>
      <c r="G1647" s="8" t="s">
        <v>22</v>
      </c>
      <c r="H1647" s="8" t="s">
        <v>5366</v>
      </c>
      <c r="I1647" s="8" t="s">
        <v>39</v>
      </c>
      <c r="J1647" s="8" t="s">
        <v>81</v>
      </c>
      <c r="K1647" s="6"/>
      <c r="L1647" s="7" t="s">
        <v>22</v>
      </c>
      <c r="M1647" s="6" t="s">
        <v>40</v>
      </c>
      <c r="N1647" s="6"/>
      <c r="O1647" s="6">
        <f>HYPERLINK("https://docs.wto.org/imrd/directdoc.asp?DDFDocuments/t/G/TBTN14/EGY60A2.DOCX", "https://docs.wto.org/imrd/directdoc.asp?DDFDocuments/t/G/TBTN14/EGY60A2.DOCX")</f>
      </c>
      <c r="P1647" s="6">
        <f>HYPERLINK("https://docs.wto.org/imrd/directdoc.asp?DDFDocuments/u/G/TBTN14/EGY60A2.DOCX", "https://docs.wto.org/imrd/directdoc.asp?DDFDocuments/u/G/TBTN14/EGY60A2.DOCX")</f>
      </c>
      <c r="Q1647" s="6">
        <f>HYPERLINK("https://docs.wto.org/imrd/directdoc.asp?DDFDocuments/v/G/TBTN14/EGY60A2.DOCX", "https://docs.wto.org/imrd/directdoc.asp?DDFDocuments/v/G/TBTN14/EGY60A2.DOCX")</f>
      </c>
    </row>
    <row r="1648">
      <c r="A1648" s="6" t="s">
        <v>583</v>
      </c>
      <c r="B1648" s="7">
        <v>45574</v>
      </c>
      <c r="C1648" s="9">
        <f>HYPERLINK("https://eping.wto.org/en/Search?viewData= G/TBT/N/EGY/290/Add.2"," G/TBT/N/EGY/290/Add.2")</f>
      </c>
      <c r="D1648" s="8" t="s">
        <v>5367</v>
      </c>
      <c r="E1648" s="8" t="s">
        <v>5368</v>
      </c>
      <c r="F1648" s="8" t="s">
        <v>5195</v>
      </c>
      <c r="G1648" s="8" t="s">
        <v>22</v>
      </c>
      <c r="H1648" s="8" t="s">
        <v>5196</v>
      </c>
      <c r="I1648" s="8" t="s">
        <v>641</v>
      </c>
      <c r="J1648" s="8" t="s">
        <v>22</v>
      </c>
      <c r="K1648" s="6"/>
      <c r="L1648" s="7" t="s">
        <v>22</v>
      </c>
      <c r="M1648" s="6" t="s">
        <v>40</v>
      </c>
      <c r="N1648" s="6"/>
      <c r="O1648" s="6">
        <f>HYPERLINK("https://docs.wto.org/imrd/directdoc.asp?DDFDocuments/t/G/TBTN21/EGY290A2.DOCX", "https://docs.wto.org/imrd/directdoc.asp?DDFDocuments/t/G/TBTN21/EGY290A2.DOCX")</f>
      </c>
      <c r="P1648" s="6">
        <f>HYPERLINK("https://docs.wto.org/imrd/directdoc.asp?DDFDocuments/u/G/TBTN21/EGY290A2.DOCX", "https://docs.wto.org/imrd/directdoc.asp?DDFDocuments/u/G/TBTN21/EGY290A2.DOCX")</f>
      </c>
      <c r="Q1648" s="6">
        <f>HYPERLINK("https://docs.wto.org/imrd/directdoc.asp?DDFDocuments/v/G/TBTN21/EGY290A2.DOCX", "https://docs.wto.org/imrd/directdoc.asp?DDFDocuments/v/G/TBTN21/EGY290A2.DOCX")</f>
      </c>
    </row>
    <row r="1649">
      <c r="A1649" s="6" t="s">
        <v>583</v>
      </c>
      <c r="B1649" s="7">
        <v>45574</v>
      </c>
      <c r="C1649" s="9">
        <f>HYPERLINK("https://eping.wto.org/en/Search?viewData= G/TBT/N/EGY/467/Add.1"," G/TBT/N/EGY/467/Add.1")</f>
      </c>
      <c r="D1649" s="8" t="s">
        <v>5369</v>
      </c>
      <c r="E1649" s="8" t="s">
        <v>5370</v>
      </c>
      <c r="F1649" s="8" t="s">
        <v>5371</v>
      </c>
      <c r="G1649" s="8" t="s">
        <v>22</v>
      </c>
      <c r="H1649" s="8" t="s">
        <v>5372</v>
      </c>
      <c r="I1649" s="8" t="s">
        <v>203</v>
      </c>
      <c r="J1649" s="8" t="s">
        <v>22</v>
      </c>
      <c r="K1649" s="6"/>
      <c r="L1649" s="7" t="s">
        <v>22</v>
      </c>
      <c r="M1649" s="6" t="s">
        <v>40</v>
      </c>
      <c r="N1649" s="6"/>
      <c r="O1649" s="6">
        <f>HYPERLINK("https://docs.wto.org/imrd/directdoc.asp?DDFDocuments/t/G/TBTN24/EGY467A1.DOCX", "https://docs.wto.org/imrd/directdoc.asp?DDFDocuments/t/G/TBTN24/EGY467A1.DOCX")</f>
      </c>
      <c r="P1649" s="6">
        <f>HYPERLINK("https://docs.wto.org/imrd/directdoc.asp?DDFDocuments/u/G/TBTN24/EGY467A1.DOCX", "https://docs.wto.org/imrd/directdoc.asp?DDFDocuments/u/G/TBTN24/EGY467A1.DOCX")</f>
      </c>
      <c r="Q1649" s="6">
        <f>HYPERLINK("https://docs.wto.org/imrd/directdoc.asp?DDFDocuments/v/G/TBTN24/EGY467A1.DOCX", "https://docs.wto.org/imrd/directdoc.asp?DDFDocuments/v/G/TBTN24/EGY467A1.DOCX")</f>
      </c>
    </row>
    <row r="1650">
      <c r="A1650" s="6" t="s">
        <v>583</v>
      </c>
      <c r="B1650" s="7">
        <v>45574</v>
      </c>
      <c r="C1650" s="9">
        <f>HYPERLINK("https://eping.wto.org/en/Search?viewData= G/TBT/N/EGY/328/Add.1"," G/TBT/N/EGY/328/Add.1")</f>
      </c>
      <c r="D1650" s="8" t="s">
        <v>5373</v>
      </c>
      <c r="E1650" s="8" t="s">
        <v>5374</v>
      </c>
      <c r="F1650" s="8" t="s">
        <v>810</v>
      </c>
      <c r="G1650" s="8" t="s">
        <v>22</v>
      </c>
      <c r="H1650" s="8" t="s">
        <v>588</v>
      </c>
      <c r="I1650" s="8" t="s">
        <v>88</v>
      </c>
      <c r="J1650" s="8" t="s">
        <v>81</v>
      </c>
      <c r="K1650" s="6"/>
      <c r="L1650" s="7" t="s">
        <v>22</v>
      </c>
      <c r="M1650" s="6" t="s">
        <v>40</v>
      </c>
      <c r="N1650" s="6"/>
      <c r="O1650" s="6">
        <f>HYPERLINK("https://docs.wto.org/imrd/directdoc.asp?DDFDocuments/t/G/TBTN22/EGY328A1.DOCX", "https://docs.wto.org/imrd/directdoc.asp?DDFDocuments/t/G/TBTN22/EGY328A1.DOCX")</f>
      </c>
      <c r="P1650" s="6">
        <f>HYPERLINK("https://docs.wto.org/imrd/directdoc.asp?DDFDocuments/u/G/TBTN22/EGY328A1.DOCX", "https://docs.wto.org/imrd/directdoc.asp?DDFDocuments/u/G/TBTN22/EGY328A1.DOCX")</f>
      </c>
      <c r="Q1650" s="6">
        <f>HYPERLINK("https://docs.wto.org/imrd/directdoc.asp?DDFDocuments/v/G/TBTN22/EGY328A1.DOCX", "https://docs.wto.org/imrd/directdoc.asp?DDFDocuments/v/G/TBTN22/EGY328A1.DOCX")</f>
      </c>
    </row>
    <row r="1651">
      <c r="A1651" s="6" t="s">
        <v>400</v>
      </c>
      <c r="B1651" s="7">
        <v>45574</v>
      </c>
      <c r="C1651" s="9">
        <f>HYPERLINK("https://eping.wto.org/en/Search?viewData= G/TBT/N/USA/2140/Add.1"," G/TBT/N/USA/2140/Add.1")</f>
      </c>
      <c r="D1651" s="8" t="s">
        <v>5375</v>
      </c>
      <c r="E1651" s="8" t="s">
        <v>5376</v>
      </c>
      <c r="F1651" s="8" t="s">
        <v>5377</v>
      </c>
      <c r="G1651" s="8" t="s">
        <v>22</v>
      </c>
      <c r="H1651" s="8" t="s">
        <v>5378</v>
      </c>
      <c r="I1651" s="8" t="s">
        <v>5379</v>
      </c>
      <c r="J1651" s="8" t="s">
        <v>22</v>
      </c>
      <c r="K1651" s="6"/>
      <c r="L1651" s="7" t="s">
        <v>22</v>
      </c>
      <c r="M1651" s="6" t="s">
        <v>40</v>
      </c>
      <c r="N1651" s="8" t="s">
        <v>5380</v>
      </c>
      <c r="O1651" s="6">
        <f>HYPERLINK("https://docs.wto.org/imrd/directdoc.asp?DDFDocuments/t/G/TBTN24/USA2140A1.DOCX", "https://docs.wto.org/imrd/directdoc.asp?DDFDocuments/t/G/TBTN24/USA2140A1.DOCX")</f>
      </c>
      <c r="P1651" s="6">
        <f>HYPERLINK("https://docs.wto.org/imrd/directdoc.asp?DDFDocuments/u/G/TBTN24/USA2140A1.DOCX", "https://docs.wto.org/imrd/directdoc.asp?DDFDocuments/u/G/TBTN24/USA2140A1.DOCX")</f>
      </c>
      <c r="Q1651" s="6">
        <f>HYPERLINK("https://docs.wto.org/imrd/directdoc.asp?DDFDocuments/v/G/TBTN24/USA2140A1.DOCX", "https://docs.wto.org/imrd/directdoc.asp?DDFDocuments/v/G/TBTN24/USA2140A1.DOCX")</f>
      </c>
    </row>
    <row r="1652">
      <c r="A1652" s="6" t="s">
        <v>68</v>
      </c>
      <c r="B1652" s="7">
        <v>45574</v>
      </c>
      <c r="C1652" s="9">
        <f>HYPERLINK("https://eping.wto.org/en/Search?viewData= G/SPS/N/UGA/381"," G/SPS/N/UGA/381")</f>
      </c>
      <c r="D1652" s="8" t="s">
        <v>5381</v>
      </c>
      <c r="E1652" s="8" t="s">
        <v>5382</v>
      </c>
      <c r="F1652" s="8" t="s">
        <v>5049</v>
      </c>
      <c r="G1652" s="8" t="s">
        <v>5050</v>
      </c>
      <c r="H1652" s="8" t="s">
        <v>2329</v>
      </c>
      <c r="I1652" s="8" t="s">
        <v>5383</v>
      </c>
      <c r="J1652" s="8" t="s">
        <v>5384</v>
      </c>
      <c r="K1652" s="6"/>
      <c r="L1652" s="7">
        <v>45634</v>
      </c>
      <c r="M1652" s="6" t="s">
        <v>32</v>
      </c>
      <c r="N1652" s="8" t="s">
        <v>5385</v>
      </c>
      <c r="O1652" s="6">
        <f>HYPERLINK("https://docs.wto.org/imrd/directdoc.asp?DDFDocuments/t/G/SPS/NUGA381.DOCX", "https://docs.wto.org/imrd/directdoc.asp?DDFDocuments/t/G/SPS/NUGA381.DOCX")</f>
      </c>
      <c r="P1652" s="6">
        <f>HYPERLINK("https://docs.wto.org/imrd/directdoc.asp?DDFDocuments/u/G/SPS/NUGA381.DOCX", "https://docs.wto.org/imrd/directdoc.asp?DDFDocuments/u/G/SPS/NUGA381.DOCX")</f>
      </c>
      <c r="Q1652" s="6">
        <f>HYPERLINK("https://docs.wto.org/imrd/directdoc.asp?DDFDocuments/v/G/SPS/NUGA381.DOCX", "https://docs.wto.org/imrd/directdoc.asp?DDFDocuments/v/G/SPS/NUGA381.DOCX")</f>
      </c>
    </row>
    <row r="1653">
      <c r="A1653" s="6" t="s">
        <v>68</v>
      </c>
      <c r="B1653" s="7">
        <v>45574</v>
      </c>
      <c r="C1653" s="9">
        <f>HYPERLINK("https://eping.wto.org/en/Search?viewData= G/SPS/N/UGA/383"," G/SPS/N/UGA/383")</f>
      </c>
      <c r="D1653" s="8" t="s">
        <v>5386</v>
      </c>
      <c r="E1653" s="8" t="s">
        <v>5387</v>
      </c>
      <c r="F1653" s="8" t="s">
        <v>5049</v>
      </c>
      <c r="G1653" s="8" t="s">
        <v>5050</v>
      </c>
      <c r="H1653" s="8" t="s">
        <v>2329</v>
      </c>
      <c r="I1653" s="8" t="s">
        <v>371</v>
      </c>
      <c r="J1653" s="8" t="s">
        <v>337</v>
      </c>
      <c r="K1653" s="6"/>
      <c r="L1653" s="7">
        <v>45634</v>
      </c>
      <c r="M1653" s="6" t="s">
        <v>32</v>
      </c>
      <c r="N1653" s="8" t="s">
        <v>5388</v>
      </c>
      <c r="O1653" s="6">
        <f>HYPERLINK("https://docs.wto.org/imrd/directdoc.asp?DDFDocuments/t/G/SPS/NUGA383.DOCX", "https://docs.wto.org/imrd/directdoc.asp?DDFDocuments/t/G/SPS/NUGA383.DOCX")</f>
      </c>
      <c r="P1653" s="6">
        <f>HYPERLINK("https://docs.wto.org/imrd/directdoc.asp?DDFDocuments/u/G/SPS/NUGA383.DOCX", "https://docs.wto.org/imrd/directdoc.asp?DDFDocuments/u/G/SPS/NUGA383.DOCX")</f>
      </c>
      <c r="Q1653" s="6">
        <f>HYPERLINK("https://docs.wto.org/imrd/directdoc.asp?DDFDocuments/v/G/SPS/NUGA383.DOCX", "https://docs.wto.org/imrd/directdoc.asp?DDFDocuments/v/G/SPS/NUGA383.DOCX")</f>
      </c>
    </row>
    <row r="1654">
      <c r="A1654" s="6" t="s">
        <v>583</v>
      </c>
      <c r="B1654" s="7">
        <v>45574</v>
      </c>
      <c r="C1654" s="9">
        <f>HYPERLINK("https://eping.wto.org/en/Search?viewData= G/TBT/N/EGY/468/Add.1"," G/TBT/N/EGY/468/Add.1")</f>
      </c>
      <c r="D1654" s="8" t="s">
        <v>5389</v>
      </c>
      <c r="E1654" s="8" t="s">
        <v>5390</v>
      </c>
      <c r="F1654" s="8" t="s">
        <v>5195</v>
      </c>
      <c r="G1654" s="8" t="s">
        <v>22</v>
      </c>
      <c r="H1654" s="8" t="s">
        <v>5196</v>
      </c>
      <c r="I1654" s="8" t="s">
        <v>203</v>
      </c>
      <c r="J1654" s="8" t="s">
        <v>22</v>
      </c>
      <c r="K1654" s="6"/>
      <c r="L1654" s="7" t="s">
        <v>22</v>
      </c>
      <c r="M1654" s="6" t="s">
        <v>40</v>
      </c>
      <c r="N1654" s="6"/>
      <c r="O1654" s="6">
        <f>HYPERLINK("https://docs.wto.org/imrd/directdoc.asp?DDFDocuments/t/G/TBTN24/EGY468A1.DOCX", "https://docs.wto.org/imrd/directdoc.asp?DDFDocuments/t/G/TBTN24/EGY468A1.DOCX")</f>
      </c>
      <c r="P1654" s="6">
        <f>HYPERLINK("https://docs.wto.org/imrd/directdoc.asp?DDFDocuments/u/G/TBTN24/EGY468A1.DOCX", "https://docs.wto.org/imrd/directdoc.asp?DDFDocuments/u/G/TBTN24/EGY468A1.DOCX")</f>
      </c>
      <c r="Q1654" s="6">
        <f>HYPERLINK("https://docs.wto.org/imrd/directdoc.asp?DDFDocuments/v/G/TBTN24/EGY468A1.DOCX", "https://docs.wto.org/imrd/directdoc.asp?DDFDocuments/v/G/TBTN24/EGY468A1.DOCX")</f>
      </c>
    </row>
    <row r="1655">
      <c r="A1655" s="6" t="s">
        <v>583</v>
      </c>
      <c r="B1655" s="7">
        <v>45574</v>
      </c>
      <c r="C1655" s="9">
        <f>HYPERLINK("https://eping.wto.org/en/Search?viewData= G/TBT/N/EGY/28/Add.9"," G/TBT/N/EGY/28/Add.9")</f>
      </c>
      <c r="D1655" s="8" t="s">
        <v>5391</v>
      </c>
      <c r="E1655" s="8" t="s">
        <v>5392</v>
      </c>
      <c r="F1655" s="8" t="s">
        <v>5393</v>
      </c>
      <c r="G1655" s="8" t="s">
        <v>22</v>
      </c>
      <c r="H1655" s="8" t="s">
        <v>79</v>
      </c>
      <c r="I1655" s="8" t="s">
        <v>39</v>
      </c>
      <c r="J1655" s="8" t="s">
        <v>81</v>
      </c>
      <c r="K1655" s="6"/>
      <c r="L1655" s="7" t="s">
        <v>22</v>
      </c>
      <c r="M1655" s="6" t="s">
        <v>40</v>
      </c>
      <c r="N1655" s="6"/>
      <c r="O1655" s="6">
        <f>HYPERLINK("https://docs.wto.org/imrd/directdoc.asp?DDFDocuments/t/G/TBTN10/EGY28A9.DOCX", "https://docs.wto.org/imrd/directdoc.asp?DDFDocuments/t/G/TBTN10/EGY28A9.DOCX")</f>
      </c>
      <c r="P1655" s="6">
        <f>HYPERLINK("https://docs.wto.org/imrd/directdoc.asp?DDFDocuments/u/G/TBTN10/EGY28A9.DOCX", "https://docs.wto.org/imrd/directdoc.asp?DDFDocuments/u/G/TBTN10/EGY28A9.DOCX")</f>
      </c>
      <c r="Q1655" s="6">
        <f>HYPERLINK("https://docs.wto.org/imrd/directdoc.asp?DDFDocuments/v/G/TBTN10/EGY28A9.DOCX", "https://docs.wto.org/imrd/directdoc.asp?DDFDocuments/v/G/TBTN10/EGY28A9.DOCX")</f>
      </c>
    </row>
    <row r="1656">
      <c r="A1656" s="6" t="s">
        <v>583</v>
      </c>
      <c r="B1656" s="7">
        <v>45574</v>
      </c>
      <c r="C1656" s="9">
        <f>HYPERLINK("https://eping.wto.org/en/Search?viewData= G/TBT/N/EGY/489"," G/TBT/N/EGY/489")</f>
      </c>
      <c r="D1656" s="8" t="s">
        <v>5394</v>
      </c>
      <c r="E1656" s="8" t="s">
        <v>5395</v>
      </c>
      <c r="F1656" s="8" t="s">
        <v>5192</v>
      </c>
      <c r="G1656" s="8" t="s">
        <v>22</v>
      </c>
      <c r="H1656" s="8" t="s">
        <v>3529</v>
      </c>
      <c r="I1656" s="8" t="s">
        <v>138</v>
      </c>
      <c r="J1656" s="8" t="s">
        <v>22</v>
      </c>
      <c r="K1656" s="6"/>
      <c r="L1656" s="7">
        <v>45634</v>
      </c>
      <c r="M1656" s="6" t="s">
        <v>32</v>
      </c>
      <c r="N1656" s="6"/>
      <c r="O1656" s="6">
        <f>HYPERLINK("https://docs.wto.org/imrd/directdoc.asp?DDFDocuments/t/G/TBTN24/EGY489.DOCX", "https://docs.wto.org/imrd/directdoc.asp?DDFDocuments/t/G/TBTN24/EGY489.DOCX")</f>
      </c>
      <c r="P1656" s="6">
        <f>HYPERLINK("https://docs.wto.org/imrd/directdoc.asp?DDFDocuments/u/G/TBTN24/EGY489.DOCX", "https://docs.wto.org/imrd/directdoc.asp?DDFDocuments/u/G/TBTN24/EGY489.DOCX")</f>
      </c>
      <c r="Q1656" s="6">
        <f>HYPERLINK("https://docs.wto.org/imrd/directdoc.asp?DDFDocuments/v/G/TBTN24/EGY489.DOCX", "https://docs.wto.org/imrd/directdoc.asp?DDFDocuments/v/G/TBTN24/EGY489.DOCX")</f>
      </c>
    </row>
    <row r="1657">
      <c r="A1657" s="6" t="s">
        <v>1443</v>
      </c>
      <c r="B1657" s="7">
        <v>45574</v>
      </c>
      <c r="C1657" s="9">
        <f>HYPERLINK("https://eping.wto.org/en/Search?viewData= G/TBT/N/IDN/37/Add.5"," G/TBT/N/IDN/37/Add.5")</f>
      </c>
      <c r="D1657" s="8" t="s">
        <v>5396</v>
      </c>
      <c r="E1657" s="8" t="s">
        <v>5397</v>
      </c>
      <c r="F1657" s="8" t="s">
        <v>5398</v>
      </c>
      <c r="G1657" s="8" t="s">
        <v>5399</v>
      </c>
      <c r="H1657" s="8" t="s">
        <v>5400</v>
      </c>
      <c r="I1657" s="8" t="s">
        <v>5401</v>
      </c>
      <c r="J1657" s="8" t="s">
        <v>22</v>
      </c>
      <c r="K1657" s="6"/>
      <c r="L1657" s="7" t="s">
        <v>22</v>
      </c>
      <c r="M1657" s="6" t="s">
        <v>40</v>
      </c>
      <c r="N1657" s="8" t="s">
        <v>5402</v>
      </c>
      <c r="O1657" s="6">
        <f>HYPERLINK("https://docs.wto.org/imrd/directdoc.asp?DDFDocuments/t/G/TBTN10/IDN37A5.DOCX", "https://docs.wto.org/imrd/directdoc.asp?DDFDocuments/t/G/TBTN10/IDN37A5.DOCX")</f>
      </c>
      <c r="P1657" s="6">
        <f>HYPERLINK("https://docs.wto.org/imrd/directdoc.asp?DDFDocuments/u/G/TBTN10/IDN37A5.DOCX", "https://docs.wto.org/imrd/directdoc.asp?DDFDocuments/u/G/TBTN10/IDN37A5.DOCX")</f>
      </c>
      <c r="Q1657" s="6">
        <f>HYPERLINK("https://docs.wto.org/imrd/directdoc.asp?DDFDocuments/v/G/TBTN10/IDN37A5.DOCX", "https://docs.wto.org/imrd/directdoc.asp?DDFDocuments/v/G/TBTN10/IDN37A5.DOCX")</f>
      </c>
    </row>
  </sheetData>
  <headerFooter/>
</worksheet>
</file>